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IM OANH- NS THANH PHO\CÔNG KHAI\NĂM 2025\QUÝ 1-2025\"/>
    </mc:Choice>
  </mc:AlternateContent>
  <bookViews>
    <workbookView xWindow="240" yWindow="30" windowWidth="15600" windowHeight="10035" activeTab="2"/>
  </bookViews>
  <sheets>
    <sheet name="MAU 93-ck (2)" sheetId="8" r:id="rId1"/>
    <sheet name="MAU 94-ck (5)" sheetId="11" r:id="rId2"/>
    <sheet name="MAU 95-CK" sheetId="12" r:id="rId3"/>
  </sheets>
  <definedNames>
    <definedName name="_xlnm.Print_Titles" localSheetId="0">'MAU 93-ck (2)'!$9:$10</definedName>
    <definedName name="_xlnm.Print_Titles" localSheetId="1">'MAU 94-ck (5)'!$9:$10</definedName>
    <definedName name="_xlnm.Print_Titles" localSheetId="2">'MAU 95-CK'!$7:$8</definedName>
  </definedNames>
  <calcPr calcId="162913"/>
</workbook>
</file>

<file path=xl/calcChain.xml><?xml version="1.0" encoding="utf-8"?>
<calcChain xmlns="http://schemas.openxmlformats.org/spreadsheetml/2006/main">
  <c r="I46" i="12" l="1"/>
  <c r="I45" i="12"/>
  <c r="I44" i="12"/>
  <c r="I43" i="12"/>
  <c r="I42" i="12"/>
  <c r="I41" i="12"/>
  <c r="I40" i="12"/>
  <c r="I39" i="12"/>
  <c r="I38" i="12"/>
  <c r="I37" i="12"/>
  <c r="H37" i="12"/>
  <c r="H38" i="12"/>
  <c r="H39" i="12"/>
  <c r="H40" i="12"/>
  <c r="H41" i="12"/>
  <c r="H43" i="12"/>
  <c r="H44" i="12"/>
  <c r="H45" i="12"/>
  <c r="H46" i="12"/>
  <c r="I36" i="12"/>
  <c r="I34" i="12"/>
  <c r="I33" i="12"/>
  <c r="I32" i="12"/>
  <c r="I30" i="12"/>
  <c r="I29" i="12"/>
  <c r="I28" i="12"/>
  <c r="I26" i="12"/>
  <c r="I25" i="12"/>
  <c r="I24" i="12"/>
  <c r="I23" i="12"/>
  <c r="I22" i="12"/>
  <c r="I12" i="12"/>
  <c r="I10" i="12"/>
  <c r="I9" i="12"/>
  <c r="F63" i="12"/>
  <c r="E58" i="12"/>
  <c r="E57" i="12"/>
  <c r="E56" i="12"/>
  <c r="E55" i="12" s="1"/>
  <c r="E54" i="12" s="1"/>
  <c r="F55" i="12"/>
  <c r="F54" i="12" s="1"/>
  <c r="D54" i="12"/>
  <c r="F49" i="12"/>
  <c r="D49" i="12"/>
  <c r="F48" i="12"/>
  <c r="E46" i="12"/>
  <c r="E45" i="12"/>
  <c r="E44" i="12"/>
  <c r="E43" i="12"/>
  <c r="E42" i="12"/>
  <c r="E41" i="12"/>
  <c r="E40" i="12"/>
  <c r="E39" i="12"/>
  <c r="E38" i="12"/>
  <c r="E37" i="12"/>
  <c r="F36" i="12"/>
  <c r="D36" i="12"/>
  <c r="H35" i="12"/>
  <c r="H34" i="12"/>
  <c r="E34" i="12"/>
  <c r="H33" i="12"/>
  <c r="E33" i="12"/>
  <c r="H32" i="12"/>
  <c r="E32" i="12"/>
  <c r="H31" i="12"/>
  <c r="E31" i="12"/>
  <c r="H30" i="12"/>
  <c r="E30" i="12"/>
  <c r="E23" i="12" s="1"/>
  <c r="H29" i="12"/>
  <c r="E29" i="12"/>
  <c r="H28" i="12"/>
  <c r="E28" i="12"/>
  <c r="H27" i="12"/>
  <c r="E27" i="12"/>
  <c r="H26" i="12"/>
  <c r="G26" i="12"/>
  <c r="E26" i="12"/>
  <c r="H25" i="12"/>
  <c r="E25" i="12"/>
  <c r="H24" i="12"/>
  <c r="F23" i="12"/>
  <c r="D23" i="12"/>
  <c r="D22" i="12" s="1"/>
  <c r="F22" i="12"/>
  <c r="H22" i="12" s="1"/>
  <c r="H21" i="12"/>
  <c r="E21" i="12"/>
  <c r="E19" i="12" s="1"/>
  <c r="F19" i="12"/>
  <c r="H19" i="12" s="1"/>
  <c r="D19" i="12"/>
  <c r="H18" i="12"/>
  <c r="F17" i="12"/>
  <c r="E17" i="12"/>
  <c r="D17" i="12"/>
  <c r="F16" i="12"/>
  <c r="H16" i="12" s="1"/>
  <c r="E16" i="12"/>
  <c r="F15" i="12"/>
  <c r="E15" i="12"/>
  <c r="D15" i="12"/>
  <c r="D13" i="12" s="1"/>
  <c r="F14" i="12"/>
  <c r="H14" i="12" s="1"/>
  <c r="E14" i="12"/>
  <c r="E13" i="12" s="1"/>
  <c r="E12" i="12" s="1"/>
  <c r="E11" i="12" s="1"/>
  <c r="F13" i="12"/>
  <c r="G13" i="12" s="1"/>
  <c r="C13" i="12"/>
  <c r="C12" i="12"/>
  <c r="C11" i="12"/>
  <c r="C10" i="12" s="1"/>
  <c r="C9" i="12" s="1"/>
  <c r="D53" i="11"/>
  <c r="D51" i="11" s="1"/>
  <c r="D52" i="11"/>
  <c r="G51" i="11"/>
  <c r="F51" i="11"/>
  <c r="E51" i="11"/>
  <c r="E48" i="11" s="1"/>
  <c r="C51" i="11"/>
  <c r="D50" i="11"/>
  <c r="D49" i="11"/>
  <c r="G48" i="11"/>
  <c r="F48" i="11"/>
  <c r="C48" i="11"/>
  <c r="I44" i="11"/>
  <c r="G44" i="11"/>
  <c r="D44" i="11"/>
  <c r="J43" i="11"/>
  <c r="I43" i="11"/>
  <c r="G43" i="11"/>
  <c r="D43" i="11"/>
  <c r="G41" i="11"/>
  <c r="G40" i="11" s="1"/>
  <c r="D41" i="11"/>
  <c r="F40" i="11"/>
  <c r="F38" i="11" s="1"/>
  <c r="E40" i="11"/>
  <c r="E38" i="11" s="1"/>
  <c r="D40" i="11"/>
  <c r="C40" i="11"/>
  <c r="I39" i="11"/>
  <c r="G39" i="11"/>
  <c r="J39" i="11" s="1"/>
  <c r="D39" i="11"/>
  <c r="C38" i="11"/>
  <c r="I33" i="11"/>
  <c r="G33" i="11"/>
  <c r="J33" i="11" s="1"/>
  <c r="D33" i="11"/>
  <c r="K32" i="11"/>
  <c r="I32" i="11"/>
  <c r="D32" i="11"/>
  <c r="K28" i="11"/>
  <c r="J28" i="11"/>
  <c r="I28" i="11"/>
  <c r="G28" i="11"/>
  <c r="D28" i="11"/>
  <c r="K27" i="11"/>
  <c r="I27" i="11"/>
  <c r="D27" i="11"/>
  <c r="J27" i="11" s="1"/>
  <c r="K26" i="11"/>
  <c r="I26" i="11"/>
  <c r="D26" i="11"/>
  <c r="J26" i="11" s="1"/>
  <c r="K25" i="11"/>
  <c r="I25" i="11"/>
  <c r="G25" i="11"/>
  <c r="D25" i="11"/>
  <c r="K24" i="11"/>
  <c r="I24" i="11"/>
  <c r="G24" i="11"/>
  <c r="J24" i="11" s="1"/>
  <c r="D24" i="11"/>
  <c r="K23" i="11"/>
  <c r="I23" i="11"/>
  <c r="D23" i="11"/>
  <c r="J23" i="11" s="1"/>
  <c r="K22" i="11"/>
  <c r="I22" i="11"/>
  <c r="D22" i="11"/>
  <c r="J22" i="11" s="1"/>
  <c r="K20" i="11"/>
  <c r="I20" i="11"/>
  <c r="G20" i="11"/>
  <c r="J20" i="11" s="1"/>
  <c r="D20" i="11"/>
  <c r="K18" i="11"/>
  <c r="I18" i="11"/>
  <c r="G18" i="11"/>
  <c r="D18" i="11"/>
  <c r="K17" i="11"/>
  <c r="I17" i="11"/>
  <c r="G17" i="11"/>
  <c r="J17" i="11" s="1"/>
  <c r="D17" i="11"/>
  <c r="K15" i="11"/>
  <c r="I15" i="11"/>
  <c r="D15" i="11"/>
  <c r="J15" i="11" s="1"/>
  <c r="K14" i="11"/>
  <c r="I14" i="11"/>
  <c r="D14" i="11"/>
  <c r="J14" i="11" s="1"/>
  <c r="K13" i="11"/>
  <c r="I13" i="11"/>
  <c r="D13" i="11"/>
  <c r="J13" i="11" s="1"/>
  <c r="H12" i="11"/>
  <c r="H11" i="11" s="1"/>
  <c r="F12" i="11"/>
  <c r="K12" i="11" s="1"/>
  <c r="E12" i="11"/>
  <c r="E11" i="11" s="1"/>
  <c r="D12" i="11"/>
  <c r="D11" i="11" s="1"/>
  <c r="C12" i="11"/>
  <c r="C11" i="11" s="1"/>
  <c r="C9" i="11" s="1"/>
  <c r="E28" i="8"/>
  <c r="C12" i="8"/>
  <c r="H17" i="12" l="1"/>
  <c r="D12" i="12"/>
  <c r="D11" i="12" s="1"/>
  <c r="G36" i="12"/>
  <c r="F12" i="12"/>
  <c r="H15" i="12"/>
  <c r="H36" i="12"/>
  <c r="H23" i="12"/>
  <c r="E36" i="12"/>
  <c r="E22" i="12" s="1"/>
  <c r="E10" i="12" s="1"/>
  <c r="E9" i="12" s="1"/>
  <c r="D10" i="12"/>
  <c r="D9" i="12" s="1"/>
  <c r="G14" i="12"/>
  <c r="G23" i="12"/>
  <c r="G22" i="12"/>
  <c r="H13" i="12"/>
  <c r="G15" i="12"/>
  <c r="G16" i="12"/>
  <c r="D10" i="11"/>
  <c r="J18" i="11"/>
  <c r="I38" i="11"/>
  <c r="J44" i="11"/>
  <c r="D48" i="11"/>
  <c r="G38" i="11"/>
  <c r="J25" i="11"/>
  <c r="D38" i="11"/>
  <c r="D9" i="11" s="1"/>
  <c r="H10" i="11"/>
  <c r="H9" i="11"/>
  <c r="E9" i="11"/>
  <c r="E10" i="11"/>
  <c r="C10" i="11"/>
  <c r="G12" i="11"/>
  <c r="F11" i="11"/>
  <c r="I12" i="11"/>
  <c r="G32" i="11"/>
  <c r="J32" i="11" s="1"/>
  <c r="F11" i="12" l="1"/>
  <c r="G12" i="12"/>
  <c r="H12" i="12"/>
  <c r="J38" i="11"/>
  <c r="J12" i="11"/>
  <c r="G11" i="11"/>
  <c r="F9" i="11"/>
  <c r="I11" i="11"/>
  <c r="F10" i="11"/>
  <c r="K11" i="11"/>
  <c r="F10" i="12" l="1"/>
  <c r="G11" i="12"/>
  <c r="H11" i="12"/>
  <c r="I10" i="11"/>
  <c r="K10" i="11"/>
  <c r="K9" i="11"/>
  <c r="I9" i="11"/>
  <c r="J11" i="11"/>
  <c r="G10" i="11"/>
  <c r="J10" i="11" s="1"/>
  <c r="G9" i="11"/>
  <c r="J9" i="11" s="1"/>
  <c r="G10" i="12" l="1"/>
  <c r="H10" i="12"/>
  <c r="F9" i="12"/>
  <c r="G9" i="12" l="1"/>
  <c r="H9" i="12"/>
  <c r="D24" i="8" l="1"/>
  <c r="D14" i="8" l="1"/>
  <c r="D15" i="8"/>
  <c r="C23" i="8"/>
  <c r="C24" i="8"/>
  <c r="C14" i="8"/>
  <c r="E32" i="8" l="1"/>
  <c r="E31" i="8"/>
  <c r="E27" i="8"/>
  <c r="E26" i="8"/>
  <c r="E25" i="8"/>
  <c r="E18" i="8"/>
  <c r="E15" i="8"/>
  <c r="E14" i="8" l="1"/>
  <c r="C30" i="8" l="1"/>
  <c r="C22" i="8" l="1"/>
  <c r="D30" i="8" l="1"/>
  <c r="D23" i="8"/>
  <c r="D13" i="8"/>
  <c r="D12" i="8" s="1"/>
  <c r="C13" i="8"/>
  <c r="D22" i="8" l="1"/>
  <c r="E30" i="8"/>
  <c r="E13" i="8"/>
  <c r="D21" i="8" l="1"/>
  <c r="E12" i="8"/>
  <c r="E22" i="8"/>
  <c r="C21" i="8" l="1"/>
  <c r="E21" i="8" s="1"/>
</calcChain>
</file>

<file path=xl/comments1.xml><?xml version="1.0" encoding="utf-8"?>
<comments xmlns="http://schemas.openxmlformats.org/spreadsheetml/2006/main">
  <authors>
    <author>PhongVuBienHoa</author>
  </authors>
  <commentList>
    <comment ref="D20" authorId="0" shapeId="0">
      <text>
        <r>
          <rPr>
            <b/>
            <sz val="8"/>
            <color indexed="81"/>
            <rFont val="Tahoma"/>
            <family val="2"/>
          </rPr>
          <t>PhongVuBienHoa:</t>
        </r>
        <r>
          <rPr>
            <sz val="8"/>
            <color indexed="81"/>
            <rFont val="Tahoma"/>
            <family val="2"/>
          </rPr>
          <t xml:space="preserve">
của xã tp ko hưởng </t>
        </r>
      </text>
    </comment>
  </commentList>
</comments>
</file>

<file path=xl/comments2.xml><?xml version="1.0" encoding="utf-8"?>
<comments xmlns="http://schemas.openxmlformats.org/spreadsheetml/2006/main">
  <authors>
    <author>hello</author>
  </authors>
  <commentList>
    <comment ref="D15" authorId="0" shapeId="0">
      <text>
        <r>
          <rPr>
            <b/>
            <sz val="9"/>
            <color indexed="81"/>
            <rFont val="Tahoma"/>
            <family val="2"/>
          </rPr>
          <t>hello:</t>
        </r>
        <r>
          <rPr>
            <sz val="9"/>
            <color indexed="81"/>
            <rFont val="Tahoma"/>
            <family val="2"/>
          </rPr>
          <t xml:space="preserve">
258 TỶ TIỀN SDĐ (TRONG ĐÓ PXA 2,7 TỶ)</t>
        </r>
      </text>
    </comment>
  </commentList>
</comments>
</file>

<file path=xl/sharedStrings.xml><?xml version="1.0" encoding="utf-8"?>
<sst xmlns="http://schemas.openxmlformats.org/spreadsheetml/2006/main" count="233" uniqueCount="176">
  <si>
    <t>STT</t>
  </si>
  <si>
    <t>A</t>
  </si>
  <si>
    <t>B</t>
  </si>
  <si>
    <t>Nội dung</t>
  </si>
  <si>
    <t>3=2/1</t>
  </si>
  <si>
    <t>I</t>
  </si>
  <si>
    <t>Chi đầu tư phát triển</t>
  </si>
  <si>
    <t>Dự phòng ngân sách</t>
  </si>
  <si>
    <t>II</t>
  </si>
  <si>
    <t>III</t>
  </si>
  <si>
    <t>C</t>
  </si>
  <si>
    <t>IV</t>
  </si>
  <si>
    <t>CỘNG HÒA XÃ HỘI CHỦ NGHĨA VIỆT NAM</t>
  </si>
  <si>
    <t>Độc Lập - Tự do- Hạnh Phúc</t>
  </si>
  <si>
    <t>CÂN ĐỐI NGÂN SÁCH THÀNH PHỐ BIÊN HÒA</t>
  </si>
  <si>
    <t>a</t>
  </si>
  <si>
    <t>b</t>
  </si>
  <si>
    <t>Tỉnh thu thành phố hưởng</t>
  </si>
  <si>
    <t>Chi cân đối ngân sách thành phố</t>
  </si>
  <si>
    <t xml:space="preserve">Chi thường xuyên </t>
  </si>
  <si>
    <t>trong đó: cấp thành phố</t>
  </si>
  <si>
    <t>Thu khác ngân sách</t>
  </si>
  <si>
    <t>Thu bổ sung từ ngân sách cấp trên</t>
  </si>
  <si>
    <t>D</t>
  </si>
  <si>
    <t>Chi quốc phòng</t>
  </si>
  <si>
    <t>Khối phường xã</t>
  </si>
  <si>
    <t>Thu kết dư năm trước chuyển sang</t>
  </si>
  <si>
    <t>UBND THÀNH PHỐ BIÊN HÒA</t>
  </si>
  <si>
    <t>PHÒNG TÀI CHÍNH KẾ HOẠCH</t>
  </si>
  <si>
    <t>Chi XDCB nguồn vốn tập trung</t>
  </si>
  <si>
    <t>Chi XDCB nguồn thu tiền sử dụng đất</t>
  </si>
  <si>
    <t>Chi XDCB nguồn xổ sổ kiến thiết</t>
  </si>
  <si>
    <t>Chi tạo nguồn cải cách tiền lương</t>
  </si>
  <si>
    <t xml:space="preserve">Thu cân đối ngân sách thành phố </t>
  </si>
  <si>
    <t>Thu Nội đia</t>
  </si>
  <si>
    <t>Thu quản lý qua ngân sách</t>
  </si>
  <si>
    <t>Chi XDCB khác</t>
  </si>
  <si>
    <t>Thu chuyển nguồn từ năm trước chuyển sang</t>
  </si>
  <si>
    <t>TỔNG CHI NGÂN SÁCH HUYỆN (I+II+III)</t>
  </si>
  <si>
    <t>Tạm chi chưa đưa vào cân đối NS</t>
  </si>
  <si>
    <t>-</t>
  </si>
  <si>
    <t>Chi đầu tư phát triển NS thành phố</t>
  </si>
  <si>
    <t>Chi XDCB NS phường xã</t>
  </si>
  <si>
    <t>V</t>
  </si>
  <si>
    <t>Trong đó: nếu loại trừ tiền sử dụng đất</t>
  </si>
  <si>
    <t xml:space="preserve">Chi nộp ngân sách cấp trên </t>
  </si>
  <si>
    <t>Chi chuyển giao ngân sách ( bs ngân sách cấp dưới)</t>
  </si>
  <si>
    <t>Độc Lập - Tự do - Hạnh phúc</t>
  </si>
  <si>
    <t>Thu trên địa bàn</t>
  </si>
  <si>
    <t>Thu điều tiết</t>
  </si>
  <si>
    <t>Thu từ khu vực kinh tế ngoài quốc doanh</t>
  </si>
  <si>
    <t>Trong đó: Thu từ cơ sở kinh doanh nhập khẩu tiếp tục bán ra trong nước</t>
  </si>
  <si>
    <t>- Thuế tài nguyên</t>
  </si>
  <si>
    <t>Thuế sử dụng đất nông nghiệp</t>
  </si>
  <si>
    <t>Thuế CQSDĐ</t>
  </si>
  <si>
    <t>Phí, lệ phí</t>
  </si>
  <si>
    <t>- Phí, lệ phí do cơ quan nhà nước địa phương thu</t>
  </si>
  <si>
    <t>Thu tiền thuê đất, mặt nước</t>
  </si>
  <si>
    <t>Thu từ bán tài sản nhà nước</t>
  </si>
  <si>
    <t xml:space="preserve">                - Do địa phương quản lý</t>
  </si>
  <si>
    <t>Thu tiền cho thuê và bán nhà ở thuộc sở hữu nhà nước</t>
  </si>
  <si>
    <t>Trong cân đối</t>
  </si>
  <si>
    <t>Thu từ quỹ đất công ích và thu hoa lợi công sản khác</t>
  </si>
  <si>
    <t>Thu các quyền khai thác khoáng sản</t>
  </si>
  <si>
    <t>Thu từ hoạt động xổ số kiến thiết (kể cả hoạt động xổ số điện toán)</t>
  </si>
  <si>
    <t>THU TỪ DẦU THÔ</t>
  </si>
  <si>
    <t>Thu bổ sung từ ngân sách tỉnh</t>
  </si>
  <si>
    <t>- Thu bổ sung cân đối</t>
  </si>
  <si>
    <t xml:space="preserve">      + Bổ sung đợt I</t>
  </si>
  <si>
    <t xml:space="preserve">      + Bổ sung đợt II</t>
  </si>
  <si>
    <t>Thu từ nguồn thu tại đơn vị</t>
  </si>
  <si>
    <t>KHOẢN CHI</t>
  </si>
  <si>
    <t xml:space="preserve"> % (Thực hiện/dự toán tỉnh giao)</t>
  </si>
  <si>
    <t>TỔNG CHI NGÂN SÁCH ĐỊA PHƯƠNG ( A+B+C+D)</t>
  </si>
  <si>
    <t xml:space="preserve"> CHI CÂN ĐỐI NS ĐỊA PHƯƠNG ( I+II+III)</t>
  </si>
  <si>
    <t>Chi đầu tư XDCB từ nguồn sử dụng đất</t>
  </si>
  <si>
    <t>Chi đầu tư XDCB từ nguồn xổ số kiến thiết</t>
  </si>
  <si>
    <t xml:space="preserve">Chi thường xuyên theo lĩnh vực </t>
  </si>
  <si>
    <t>II.1</t>
  </si>
  <si>
    <t>Ngân sách thành phố</t>
  </si>
  <si>
    <t>Chi an ninh</t>
  </si>
  <si>
    <t xml:space="preserve">Chi sự nghiệp GDĐT và Dạy nghề </t>
  </si>
  <si>
    <t xml:space="preserve">Chi sự nghiệp y tế </t>
  </si>
  <si>
    <t xml:space="preserve">Chi SN văn hóa thông tin </t>
  </si>
  <si>
    <t xml:space="preserve">Chi SN truyền thanh </t>
  </si>
  <si>
    <t xml:space="preserve">Chi SN thể dục -TT </t>
  </si>
  <si>
    <t xml:space="preserve">Chi SN môi trường  </t>
  </si>
  <si>
    <t xml:space="preserve">Chi SN kinh tế </t>
  </si>
  <si>
    <t xml:space="preserve">Chi bảo đảm XH </t>
  </si>
  <si>
    <t xml:space="preserve">Chi lĩnh vực khác </t>
  </si>
  <si>
    <t>II.2</t>
  </si>
  <si>
    <t xml:space="preserve">Ngân sách phường, xã </t>
  </si>
  <si>
    <t>2.1</t>
  </si>
  <si>
    <t>2.2</t>
  </si>
  <si>
    <t>2.3</t>
  </si>
  <si>
    <t>2.4</t>
  </si>
  <si>
    <t>2.5</t>
  </si>
  <si>
    <t>2.6</t>
  </si>
  <si>
    <t>2.7</t>
  </si>
  <si>
    <t>2.8</t>
  </si>
  <si>
    <t>Chi QL nhà nước, các hội đoàn thể</t>
  </si>
  <si>
    <t>2.9</t>
  </si>
  <si>
    <t>2.10</t>
  </si>
  <si>
    <t xml:space="preserve">CHI CHUYỂN GIAO NGÂN SÁCH </t>
  </si>
  <si>
    <t xml:space="preserve">Chi bổ sung ngân sách cấp xã </t>
  </si>
  <si>
    <t>bổ sung cân đối</t>
  </si>
  <si>
    <t>bổ sung mục tiêu</t>
  </si>
  <si>
    <t>Dự phòng</t>
  </si>
  <si>
    <t>Ngân sách phường xã</t>
  </si>
  <si>
    <t>CHI CHUYỂN NGUỒN</t>
  </si>
  <si>
    <t>TẠM ỨNG CHƯA ĐƯA VÀO CÂN ĐỐI NS</t>
  </si>
  <si>
    <t>So sánh ước thực hiện với (%)</t>
  </si>
  <si>
    <t xml:space="preserve">Dự toán năm </t>
  </si>
  <si>
    <t>Cùng kỳ năm trước</t>
  </si>
  <si>
    <t>ĐVT: đồng</t>
  </si>
  <si>
    <t>So sánh</t>
  </si>
  <si>
    <t>% so với cùng kỳ</t>
  </si>
  <si>
    <t>6=3/1</t>
  </si>
  <si>
    <t>7=4/1</t>
  </si>
  <si>
    <t xml:space="preserve">TỔNG THU NSNN TRÊN ĐỊA BÀN (I+II+III+IV+V+VI) </t>
  </si>
  <si>
    <t>THU NGÂN SÁCH ĐỊA PHƯƠNG (I+II+III)</t>
  </si>
  <si>
    <t>THU NỘI ĐỊA</t>
  </si>
  <si>
    <t>' Thuế GTGT ( 50%)</t>
  </si>
  <si>
    <t>- Thuế thu nhập doanh nghiệp (50%)</t>
  </si>
  <si>
    <t>- Thuế tiêu thụ đặc biệt ( 50%)</t>
  </si>
  <si>
    <t>Lệ phí trước bạ (100%)</t>
  </si>
  <si>
    <t>Thuế sử dụng đất phi nông nghiệp (100%)</t>
  </si>
  <si>
    <t>Thuế thu nhập cá nhân (50%)</t>
  </si>
  <si>
    <t>Thuế bảo vệ môi trường (50%)</t>
  </si>
  <si>
    <t>Tiền sử dụng đất (60%)</t>
  </si>
  <si>
    <t>- Thu do cơ quan, tổ chức, đơn vị thuộc địa phương quản lý</t>
  </si>
  <si>
    <t>- Thu bổ sung mục tiêu</t>
  </si>
  <si>
    <t>- Thu bổ sung mục tiêu từ nguồn xổ sổ kiến thiết</t>
  </si>
  <si>
    <t>Thu chuyển nguồn</t>
  </si>
  <si>
    <t>Thu nộp ngân sách cấp trên</t>
  </si>
  <si>
    <t>VI</t>
  </si>
  <si>
    <t>Thu kết dư</t>
  </si>
  <si>
    <t>VII</t>
  </si>
  <si>
    <t>Ghi chú: (1) Bao gồm các khoản thu NSĐP hưởng 100%, các khoản thu phân chia giữa NSTW và NSĐP.</t>
  </si>
  <si>
    <t>Dự toán tỉnh giao</t>
  </si>
  <si>
    <t>Dự toán HĐND giao</t>
  </si>
  <si>
    <t>Chi QL nhà nước</t>
  </si>
  <si>
    <t>so cùng kỳ</t>
  </si>
  <si>
    <t xml:space="preserve">Nhiệm vụ chi khác </t>
  </si>
  <si>
    <t>QUÝ I NĂM 2025</t>
  </si>
  <si>
    <t>Dự toán năm 2025</t>
  </si>
  <si>
    <t>Thực hiện quý I/2025</t>
  </si>
  <si>
    <t>TỔNG NGUỒN THU NSNN TRÊN ĐỊA BÀN ( I+II+III+IV)</t>
  </si>
  <si>
    <t>THỰC HIỆN THU NGÂN SÁCH THÀNH PHỐ QUÝ I NĂM 2025</t>
  </si>
  <si>
    <t>Thu tháng 03 năm 2025</t>
  </si>
  <si>
    <t>% ước thực hiện thu điều tiết năm / DT 2025</t>
  </si>
  <si>
    <t>% ước thực hiệnthu địa bàn / DT 2025</t>
  </si>
  <si>
    <t>- Bổ sung từ nguồn CCTL của Tỉnh</t>
  </si>
  <si>
    <t xml:space="preserve"> - Thu từ các đơn vị sự nghiệp tại địa phương (60%)</t>
  </si>
  <si>
    <t>- Thu từ nguồn CCTL tại địa phương</t>
  </si>
  <si>
    <t xml:space="preserve">     + Thu từ nguồn CCTL còn dư năm trước chuyển sang</t>
  </si>
  <si>
    <t xml:space="preserve">     + Thu từ nguồn tiết kiệm 10% giao đầu năm</t>
  </si>
  <si>
    <t>Thu quý 1 năm 2025</t>
  </si>
  <si>
    <t>Thu trên địa bàn quý 1/2025</t>
  </si>
  <si>
    <t>Thu điều tiết quý 1/2025</t>
  </si>
  <si>
    <t>ĐvT: đồng</t>
  </si>
  <si>
    <t>thực hiện tháng 3/2025</t>
  </si>
  <si>
    <t xml:space="preserve"> % (Thực hiện/dự toán HĐND giao)</t>
  </si>
  <si>
    <t>Chi xây dựng cơ bản</t>
  </si>
  <si>
    <t>1.1</t>
  </si>
  <si>
    <t>Chi đầu tư phát triển các dự án</t>
  </si>
  <si>
    <t>Chi đầu tư XDCB từ  nguồn tập trung</t>
  </si>
  <si>
    <t>1.2</t>
  </si>
  <si>
    <t xml:space="preserve">Chi đầu tư phát triển khác </t>
  </si>
  <si>
    <t>Chi ĐT phát triển khác (chuyển vốn ủy thác)</t>
  </si>
  <si>
    <t>Chi đầu tư phát triển NS phường xã</t>
  </si>
  <si>
    <t>CHI ĐẦU TƯ PHÁT TRIỂN (công trình chuyển nguồn)</t>
  </si>
  <si>
    <t>F</t>
  </si>
  <si>
    <t xml:space="preserve">Tạm chi chưa đưa vào cân đối NS </t>
  </si>
  <si>
    <t>Thực hiện thu Quý I năm 2025</t>
  </si>
  <si>
    <t>BÁO CÁO TÌNH HÌNH THỰC HIỆN CHI NGÂN SÁCH QUÝ I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</si>
</sst>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_);_(* \(#,##0\);_(* &quot;-&quot;??_);_(@_)"/>
    <numFmt numFmtId="167" formatCode="#,##0;[Red]#,##0"/>
    <numFmt numFmtId="168" formatCode="0.0%"/>
  </numFmts>
  <fonts count="52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2"/>
    </font>
    <font>
      <sz val="14"/>
      <color theme="1"/>
      <name val="Times New Roman"/>
      <family val="1"/>
    </font>
    <font>
      <sz val="14"/>
      <color rgb="FFFF0000"/>
      <name val="Times New Roman"/>
      <family val="1"/>
    </font>
    <font>
      <sz val="14"/>
      <name val="Times New Roman"/>
      <family val="1"/>
    </font>
    <font>
      <b/>
      <sz val="13"/>
      <name val="Times New Roman"/>
      <family val="1"/>
    </font>
    <font>
      <b/>
      <sz val="14"/>
      <name val="Times New Roman"/>
      <family val="1"/>
    </font>
    <font>
      <b/>
      <u val="singleAccounting"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i/>
      <sz val="14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color theme="1"/>
      <name val="Times New Roman"/>
      <family val="1"/>
    </font>
    <font>
      <b/>
      <sz val="11"/>
      <color theme="1"/>
      <name val="T"/>
    </font>
    <font>
      <sz val="11"/>
      <color theme="1"/>
      <name val="Times New Roman"/>
      <family val="1"/>
    </font>
    <font>
      <sz val="11"/>
      <color theme="1"/>
      <name val="T"/>
    </font>
    <font>
      <sz val="10"/>
      <name val="Arial"/>
      <family val="2"/>
      <charset val="163"/>
    </font>
    <font>
      <b/>
      <sz val="11"/>
      <name val="Times New Roman"/>
      <family val="1"/>
    </font>
    <font>
      <b/>
      <sz val="11"/>
      <color theme="1"/>
      <name val="Cambria"/>
      <family val="1"/>
      <charset val="163"/>
      <scheme val="maj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1"/>
      <name val="Cambria"/>
      <family val="1"/>
      <scheme val="major"/>
    </font>
    <font>
      <sz val="11"/>
      <name val="Times New Roman"/>
      <family val="1"/>
    </font>
    <font>
      <sz val="11"/>
      <color theme="1"/>
      <name val="Cambria"/>
      <family val="1"/>
      <charset val="163"/>
      <scheme val="major"/>
    </font>
    <font>
      <b/>
      <u/>
      <sz val="11"/>
      <name val="Times New Roman"/>
      <family val="1"/>
    </font>
    <font>
      <sz val="11"/>
      <name val="Cambria"/>
      <family val="1"/>
      <charset val="163"/>
      <scheme val="maj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3"/>
      <name val="Times New Roman"/>
      <family val="1"/>
    </font>
    <font>
      <b/>
      <u/>
      <sz val="14"/>
      <name val="Times New Roman"/>
      <family val="1"/>
    </font>
    <font>
      <sz val="12"/>
      <name val="Times New Roman"/>
      <family val="2"/>
    </font>
    <font>
      <sz val="12"/>
      <name val="Cambria"/>
      <family val="1"/>
      <scheme val="major"/>
    </font>
    <font>
      <b/>
      <sz val="11"/>
      <name val="Cambria"/>
      <family val="1"/>
      <charset val="163"/>
      <scheme val="major"/>
    </font>
    <font>
      <b/>
      <sz val="11"/>
      <name val="Cambria"/>
      <family val="1"/>
      <scheme val="major"/>
    </font>
    <font>
      <sz val="12"/>
      <name val=".VnTime"/>
      <family val="2"/>
    </font>
    <font>
      <sz val="12"/>
      <name val="times new roman"/>
      <family val="2"/>
      <charset val="163"/>
    </font>
    <font>
      <b/>
      <sz val="12"/>
      <name val="times new roman"/>
      <family val="2"/>
      <charset val="163"/>
    </font>
    <font>
      <i/>
      <sz val="12"/>
      <name val="times new roman"/>
      <family val="2"/>
      <charset val="163"/>
    </font>
    <font>
      <sz val="12"/>
      <color rgb="FFFF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Times New Roman"/>
      <family val="1"/>
    </font>
    <font>
      <b/>
      <sz val="12"/>
      <name val="Cambria"/>
      <family val="1"/>
      <charset val="163"/>
      <scheme val="major"/>
    </font>
    <font>
      <b/>
      <sz val="12"/>
      <name val="Cambria"/>
      <family val="1"/>
      <scheme val="maj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indexed="64"/>
      </left>
      <right style="thin">
        <color auto="1"/>
      </right>
      <top style="dotted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2" fillId="0" borderId="0"/>
    <xf numFmtId="0" fontId="40" fillId="0" borderId="0"/>
  </cellStyleXfs>
  <cellXfs count="276">
    <xf numFmtId="0" fontId="0" fillId="0" borderId="0" xfId="0"/>
    <xf numFmtId="0" fontId="2" fillId="0" borderId="0" xfId="0" applyFont="1"/>
    <xf numFmtId="0" fontId="7" fillId="0" borderId="0" xfId="0" applyFont="1"/>
    <xf numFmtId="0" fontId="5" fillId="0" borderId="1" xfId="0" applyFont="1" applyBorder="1" applyAlignment="1">
      <alignment horizontal="center"/>
    </xf>
    <xf numFmtId="165" fontId="0" fillId="0" borderId="0" xfId="1" applyNumberFormat="1" applyFont="1"/>
    <xf numFmtId="0" fontId="8" fillId="0" borderId="0" xfId="0" applyFont="1"/>
    <xf numFmtId="0" fontId="5" fillId="0" borderId="3" xfId="0" applyFont="1" applyBorder="1"/>
    <xf numFmtId="0" fontId="1" fillId="0" borderId="0" xfId="0" applyFont="1" applyAlignment="1">
      <alignment horizontal="center"/>
    </xf>
    <xf numFmtId="165" fontId="9" fillId="0" borderId="3" xfId="1" applyNumberFormat="1" applyFont="1" applyBorder="1" applyAlignment="1">
      <alignment horizontal="center" vertical="center" wrapText="1"/>
    </xf>
    <xf numFmtId="9" fontId="9" fillId="0" borderId="5" xfId="2" applyFont="1" applyBorder="1" applyAlignment="1">
      <alignment horizontal="center"/>
    </xf>
    <xf numFmtId="165" fontId="9" fillId="0" borderId="5" xfId="1" applyNumberFormat="1" applyFont="1" applyBorder="1"/>
    <xf numFmtId="165" fontId="9" fillId="0" borderId="1" xfId="1" applyNumberFormat="1" applyFont="1" applyBorder="1"/>
    <xf numFmtId="9" fontId="9" fillId="0" borderId="1" xfId="2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5" fontId="7" fillId="0" borderId="0" xfId="0" applyNumberFormat="1" applyFont="1"/>
    <xf numFmtId="165" fontId="13" fillId="0" borderId="1" xfId="1" applyNumberFormat="1" applyFont="1" applyBorder="1" applyAlignment="1">
      <alignment horizontal="center" vertical="center" wrapText="1"/>
    </xf>
    <xf numFmtId="9" fontId="14" fillId="0" borderId="1" xfId="2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9" fontId="13" fillId="0" borderId="1" xfId="2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vertical="center" wrapText="1"/>
    </xf>
    <xf numFmtId="165" fontId="19" fillId="0" borderId="0" xfId="1" applyNumberFormat="1" applyFont="1" applyAlignment="1">
      <alignment horizontal="center"/>
    </xf>
    <xf numFmtId="165" fontId="21" fillId="0" borderId="0" xfId="1" applyNumberFormat="1" applyFont="1" applyAlignment="1">
      <alignment horizontal="center"/>
    </xf>
    <xf numFmtId="3" fontId="0" fillId="0" borderId="0" xfId="0" applyNumberFormat="1"/>
    <xf numFmtId="0" fontId="0" fillId="0" borderId="0" xfId="0" applyFont="1"/>
    <xf numFmtId="0" fontId="24" fillId="0" borderId="7" xfId="0" applyFont="1" applyFill="1" applyBorder="1" applyAlignment="1">
      <alignment vertical="top"/>
    </xf>
    <xf numFmtId="9" fontId="23" fillId="0" borderId="1" xfId="2" applyFont="1" applyFill="1" applyBorder="1" applyAlignment="1">
      <alignment vertical="distributed"/>
    </xf>
    <xf numFmtId="3" fontId="0" fillId="0" borderId="0" xfId="0" applyNumberFormat="1" applyFont="1"/>
    <xf numFmtId="0" fontId="24" fillId="2" borderId="1" xfId="0" applyFont="1" applyFill="1" applyBorder="1" applyAlignment="1">
      <alignment vertical="top"/>
    </xf>
    <xf numFmtId="3" fontId="23" fillId="2" borderId="1" xfId="0" applyNumberFormat="1" applyFont="1" applyFill="1" applyBorder="1" applyAlignment="1">
      <alignment vertical="distributed"/>
    </xf>
    <xf numFmtId="0" fontId="0" fillId="2" borderId="0" xfId="0" applyFont="1" applyFill="1"/>
    <xf numFmtId="0" fontId="24" fillId="0" borderId="3" xfId="0" applyFont="1" applyFill="1" applyBorder="1" applyAlignment="1">
      <alignment vertical="top"/>
    </xf>
    <xf numFmtId="3" fontId="23" fillId="0" borderId="3" xfId="0" applyNumberFormat="1" applyFont="1" applyFill="1" applyBorder="1" applyAlignment="1">
      <alignment vertical="distributed"/>
    </xf>
    <xf numFmtId="9" fontId="23" fillId="2" borderId="1" xfId="2" applyFont="1" applyFill="1" applyBorder="1" applyAlignment="1">
      <alignment vertical="distributed"/>
    </xf>
    <xf numFmtId="3" fontId="28" fillId="2" borderId="3" xfId="0" applyNumberFormat="1" applyFont="1" applyFill="1" applyBorder="1" applyAlignment="1">
      <alignment horizontal="right" vertical="distributed"/>
    </xf>
    <xf numFmtId="3" fontId="28" fillId="0" borderId="3" xfId="0" applyNumberFormat="1" applyFont="1" applyFill="1" applyBorder="1" applyAlignment="1">
      <alignment vertical="distributed"/>
    </xf>
    <xf numFmtId="3" fontId="23" fillId="2" borderId="3" xfId="0" applyNumberFormat="1" applyFont="1" applyFill="1" applyBorder="1" applyAlignment="1">
      <alignment horizontal="right" vertical="distributed"/>
    </xf>
    <xf numFmtId="0" fontId="24" fillId="0" borderId="1" xfId="0" applyFont="1" applyFill="1" applyBorder="1" applyAlignment="1">
      <alignment vertical="top"/>
    </xf>
    <xf numFmtId="165" fontId="24" fillId="0" borderId="1" xfId="1" applyNumberFormat="1" applyFont="1" applyFill="1" applyBorder="1" applyAlignment="1">
      <alignment vertical="top"/>
    </xf>
    <xf numFmtId="3" fontId="23" fillId="0" borderId="1" xfId="0" applyNumberFormat="1" applyFont="1" applyFill="1" applyBorder="1" applyAlignment="1">
      <alignment vertical="distributed"/>
    </xf>
    <xf numFmtId="0" fontId="26" fillId="0" borderId="8" xfId="0" applyFont="1" applyFill="1" applyBorder="1" applyAlignment="1">
      <alignment horizontal="left" vertical="top"/>
    </xf>
    <xf numFmtId="3" fontId="28" fillId="2" borderId="9" xfId="0" applyNumberFormat="1" applyFont="1" applyFill="1" applyBorder="1" applyAlignment="1">
      <alignment horizontal="right" vertical="distributed"/>
    </xf>
    <xf numFmtId="3" fontId="28" fillId="2" borderId="4" xfId="0" applyNumberFormat="1" applyFont="1" applyFill="1" applyBorder="1" applyAlignment="1">
      <alignment horizontal="right" vertical="distributed"/>
    </xf>
    <xf numFmtId="3" fontId="28" fillId="2" borderId="4" xfId="0" applyNumberFormat="1" applyFont="1" applyFill="1" applyBorder="1" applyAlignment="1">
      <alignment vertical="distributed"/>
    </xf>
    <xf numFmtId="3" fontId="28" fillId="2" borderId="12" xfId="0" applyNumberFormat="1" applyFont="1" applyFill="1" applyBorder="1" applyAlignment="1">
      <alignment vertical="distributed"/>
    </xf>
    <xf numFmtId="0" fontId="25" fillId="0" borderId="1" xfId="0" applyFont="1" applyFill="1" applyBorder="1" applyAlignment="1">
      <alignment vertical="top"/>
    </xf>
    <xf numFmtId="3" fontId="30" fillId="2" borderId="1" xfId="0" applyNumberFormat="1" applyFont="1" applyFill="1" applyBorder="1" applyAlignment="1">
      <alignment vertical="distributed"/>
    </xf>
    <xf numFmtId="9" fontId="30" fillId="0" borderId="1" xfId="2" applyFont="1" applyFill="1" applyBorder="1" applyAlignment="1">
      <alignment vertical="distributed"/>
    </xf>
    <xf numFmtId="3" fontId="23" fillId="0" borderId="1" xfId="0" applyNumberFormat="1" applyFont="1" applyFill="1" applyBorder="1" applyAlignment="1">
      <alignment horizontal="right" vertical="distributed"/>
    </xf>
    <xf numFmtId="3" fontId="28" fillId="2" borderId="9" xfId="0" applyNumberFormat="1" applyFont="1" applyFill="1" applyBorder="1" applyAlignment="1">
      <alignment vertical="distributed"/>
    </xf>
    <xf numFmtId="0" fontId="31" fillId="0" borderId="4" xfId="0" applyFont="1" applyFill="1" applyBorder="1" applyAlignment="1">
      <alignment vertical="top"/>
    </xf>
    <xf numFmtId="0" fontId="31" fillId="0" borderId="10" xfId="0" applyFont="1" applyFill="1" applyBorder="1" applyAlignment="1">
      <alignment vertical="top"/>
    </xf>
    <xf numFmtId="3" fontId="23" fillId="2" borderId="1" xfId="0" applyNumberFormat="1" applyFont="1" applyFill="1" applyBorder="1" applyAlignment="1">
      <alignment horizontal="right" vertical="distributed"/>
    </xf>
    <xf numFmtId="0" fontId="25" fillId="2" borderId="1" xfId="0" applyFont="1" applyFill="1" applyBorder="1" applyAlignment="1">
      <alignment vertical="top"/>
    </xf>
    <xf numFmtId="165" fontId="23" fillId="2" borderId="7" xfId="1" applyNumberFormat="1" applyFont="1" applyFill="1" applyBorder="1"/>
    <xf numFmtId="0" fontId="24" fillId="0" borderId="14" xfId="0" applyFont="1" applyFill="1" applyBorder="1" applyAlignment="1">
      <alignment vertical="top"/>
    </xf>
    <xf numFmtId="0" fontId="25" fillId="0" borderId="14" xfId="0" applyFont="1" applyFill="1" applyBorder="1" applyAlignment="1">
      <alignment vertical="top"/>
    </xf>
    <xf numFmtId="3" fontId="28" fillId="0" borderId="14" xfId="0" applyNumberFormat="1" applyFont="1" applyFill="1" applyBorder="1" applyAlignment="1">
      <alignment vertical="distributed"/>
    </xf>
    <xf numFmtId="3" fontId="23" fillId="0" borderId="14" xfId="0" applyNumberFormat="1" applyFont="1" applyFill="1" applyBorder="1" applyAlignment="1">
      <alignment vertical="distributed"/>
    </xf>
    <xf numFmtId="165" fontId="26" fillId="0" borderId="7" xfId="1" applyNumberFormat="1" applyFont="1" applyFill="1" applyBorder="1" applyAlignment="1">
      <alignment vertical="top"/>
    </xf>
    <xf numFmtId="165" fontId="27" fillId="0" borderId="14" xfId="1" applyNumberFormat="1" applyFont="1" applyFill="1" applyBorder="1" applyAlignment="1">
      <alignment vertical="top"/>
    </xf>
    <xf numFmtId="0" fontId="24" fillId="0" borderId="8" xfId="0" applyFont="1" applyFill="1" applyBorder="1" applyAlignment="1">
      <alignment vertical="top"/>
    </xf>
    <xf numFmtId="0" fontId="24" fillId="0" borderId="13" xfId="0" applyFont="1" applyFill="1" applyBorder="1" applyAlignment="1">
      <alignment vertical="top"/>
    </xf>
    <xf numFmtId="0" fontId="25" fillId="0" borderId="13" xfId="0" applyFont="1" applyFill="1" applyBorder="1" applyAlignment="1">
      <alignment vertical="top"/>
    </xf>
    <xf numFmtId="165" fontId="25" fillId="0" borderId="13" xfId="1" applyNumberFormat="1" applyFont="1" applyFill="1" applyBorder="1" applyAlignment="1">
      <alignment vertical="top"/>
    </xf>
    <xf numFmtId="3" fontId="23" fillId="0" borderId="13" xfId="0" applyNumberFormat="1" applyFont="1" applyFill="1" applyBorder="1" applyAlignment="1">
      <alignment vertical="distributed"/>
    </xf>
    <xf numFmtId="3" fontId="23" fillId="0" borderId="13" xfId="0" applyNumberFormat="1" applyFont="1" applyFill="1" applyBorder="1" applyAlignment="1">
      <alignment horizontal="right" vertical="distributed"/>
    </xf>
    <xf numFmtId="165" fontId="24" fillId="0" borderId="8" xfId="1" applyNumberFormat="1" applyFont="1" applyFill="1" applyBorder="1" applyAlignment="1">
      <alignment vertical="top"/>
    </xf>
    <xf numFmtId="165" fontId="24" fillId="0" borderId="13" xfId="1" applyNumberFormat="1" applyFont="1" applyFill="1" applyBorder="1" applyAlignment="1">
      <alignment vertical="top"/>
    </xf>
    <xf numFmtId="0" fontId="32" fillId="0" borderId="0" xfId="0" applyFont="1"/>
    <xf numFmtId="0" fontId="33" fillId="0" borderId="0" xfId="0" quotePrefix="1" applyFont="1"/>
    <xf numFmtId="165" fontId="4" fillId="0" borderId="0" xfId="1" applyNumberFormat="1" applyFont="1"/>
    <xf numFmtId="3" fontId="28" fillId="0" borderId="9" xfId="0" applyNumberFormat="1" applyFont="1" applyFill="1" applyBorder="1" applyAlignment="1">
      <alignment vertical="distributed"/>
    </xf>
    <xf numFmtId="3" fontId="28" fillId="0" borderId="4" xfId="0" applyNumberFormat="1" applyFont="1" applyFill="1" applyBorder="1" applyAlignment="1">
      <alignment vertical="distributed"/>
    </xf>
    <xf numFmtId="3" fontId="28" fillId="0" borderId="12" xfId="0" applyNumberFormat="1" applyFont="1" applyFill="1" applyBorder="1" applyAlignment="1">
      <alignment vertical="distributed"/>
    </xf>
    <xf numFmtId="0" fontId="4" fillId="0" borderId="0" xfId="0" applyFont="1" applyAlignment="1"/>
    <xf numFmtId="165" fontId="7" fillId="0" borderId="0" xfId="1" applyNumberFormat="1" applyFont="1"/>
    <xf numFmtId="0" fontId="9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1" fillId="0" borderId="5" xfId="0" quotePrefix="1" applyFont="1" applyBorder="1" applyAlignment="1">
      <alignment horizontal="center"/>
    </xf>
    <xf numFmtId="0" fontId="11" fillId="0" borderId="5" xfId="0" applyFont="1" applyBorder="1"/>
    <xf numFmtId="0" fontId="11" fillId="0" borderId="1" xfId="0" quotePrefix="1" applyFont="1" applyBorder="1" applyAlignment="1">
      <alignment horizontal="center"/>
    </xf>
    <xf numFmtId="0" fontId="15" fillId="0" borderId="1" xfId="0" applyFont="1" applyBorder="1"/>
    <xf numFmtId="0" fontId="9" fillId="0" borderId="6" xfId="0" quotePrefix="1" applyFont="1" applyBorder="1" applyAlignment="1">
      <alignment horizontal="center"/>
    </xf>
    <xf numFmtId="0" fontId="9" fillId="0" borderId="6" xfId="0" applyFont="1" applyBorder="1"/>
    <xf numFmtId="0" fontId="9" fillId="0" borderId="4" xfId="0" quotePrefix="1" applyFont="1" applyBorder="1" applyAlignment="1">
      <alignment horizontal="center"/>
    </xf>
    <xf numFmtId="0" fontId="9" fillId="0" borderId="5" xfId="0" applyFont="1" applyBorder="1"/>
    <xf numFmtId="0" fontId="9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7" xfId="0" applyFont="1" applyBorder="1"/>
    <xf numFmtId="0" fontId="9" fillId="0" borderId="4" xfId="0" applyFont="1" applyBorder="1"/>
    <xf numFmtId="0" fontId="9" fillId="0" borderId="5" xfId="0" quotePrefix="1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9" fillId="0" borderId="7" xfId="0" applyFont="1" applyBorder="1"/>
    <xf numFmtId="0" fontId="10" fillId="0" borderId="1" xfId="0" applyFont="1" applyBorder="1" applyAlignment="1">
      <alignment horizontal="center" vertical="center" wrapText="1"/>
    </xf>
    <xf numFmtId="9" fontId="12" fillId="0" borderId="1" xfId="2" applyFont="1" applyBorder="1" applyAlignment="1">
      <alignment horizontal="center"/>
    </xf>
    <xf numFmtId="9" fontId="9" fillId="0" borderId="7" xfId="2" applyFont="1" applyBorder="1" applyAlignment="1">
      <alignment horizontal="center"/>
    </xf>
    <xf numFmtId="10" fontId="35" fillId="0" borderId="1" xfId="2" applyNumberFormat="1" applyFont="1" applyBorder="1" applyAlignment="1">
      <alignment horizontal="center"/>
    </xf>
    <xf numFmtId="9" fontId="11" fillId="0" borderId="1" xfId="2" applyFont="1" applyBorder="1" applyAlignment="1">
      <alignment horizontal="center"/>
    </xf>
    <xf numFmtId="9" fontId="11" fillId="0" borderId="7" xfId="2" applyFont="1" applyBorder="1" applyAlignment="1">
      <alignment horizontal="center"/>
    </xf>
    <xf numFmtId="9" fontId="9" fillId="0" borderId="6" xfId="2" applyFont="1" applyBorder="1" applyAlignment="1">
      <alignment horizontal="center"/>
    </xf>
    <xf numFmtId="9" fontId="9" fillId="0" borderId="4" xfId="2" applyFont="1" applyBorder="1" applyAlignment="1">
      <alignment horizontal="center"/>
    </xf>
    <xf numFmtId="165" fontId="3" fillId="0" borderId="0" xfId="1" applyNumberFormat="1" applyFont="1"/>
    <xf numFmtId="0" fontId="14" fillId="0" borderId="0" xfId="0" applyFont="1"/>
    <xf numFmtId="3" fontId="18" fillId="2" borderId="1" xfId="0" applyNumberFormat="1" applyFont="1" applyFill="1" applyBorder="1" applyAlignment="1">
      <alignment vertical="distributed"/>
    </xf>
    <xf numFmtId="165" fontId="25" fillId="0" borderId="1" xfId="1" applyNumberFormat="1" applyFont="1" applyFill="1" applyBorder="1" applyAlignment="1">
      <alignment vertical="top"/>
    </xf>
    <xf numFmtId="9" fontId="28" fillId="0" borderId="9" xfId="2" applyFont="1" applyFill="1" applyBorder="1" applyAlignment="1">
      <alignment vertical="distributed"/>
    </xf>
    <xf numFmtId="9" fontId="28" fillId="0" borderId="4" xfId="2" applyFont="1" applyFill="1" applyBorder="1" applyAlignment="1">
      <alignment vertical="distributed"/>
    </xf>
    <xf numFmtId="9" fontId="28" fillId="0" borderId="12" xfId="2" applyFont="1" applyFill="1" applyBorder="1" applyAlignment="1">
      <alignment vertical="distributed"/>
    </xf>
    <xf numFmtId="165" fontId="26" fillId="0" borderId="14" xfId="1" applyNumberFormat="1" applyFont="1" applyFill="1" applyBorder="1" applyAlignment="1">
      <alignment vertical="top"/>
    </xf>
    <xf numFmtId="3" fontId="20" fillId="0" borderId="14" xfId="0" applyNumberFormat="1" applyFont="1" applyFill="1" applyBorder="1" applyAlignment="1">
      <alignment vertical="distributed"/>
    </xf>
    <xf numFmtId="3" fontId="20" fillId="0" borderId="7" xfId="0" applyNumberFormat="1" applyFont="1" applyFill="1" applyBorder="1" applyAlignment="1">
      <alignment vertical="distributed"/>
    </xf>
    <xf numFmtId="3" fontId="18" fillId="0" borderId="1" xfId="0" applyNumberFormat="1" applyFont="1" applyFill="1" applyBorder="1" applyAlignment="1">
      <alignment vertical="distributed"/>
    </xf>
    <xf numFmtId="3" fontId="18" fillId="0" borderId="8" xfId="0" applyNumberFormat="1" applyFont="1" applyFill="1" applyBorder="1" applyAlignment="1">
      <alignment vertical="distributed"/>
    </xf>
    <xf numFmtId="3" fontId="18" fillId="0" borderId="8" xfId="0" applyNumberFormat="1" applyFont="1" applyFill="1" applyBorder="1" applyAlignment="1">
      <alignment horizontal="right" vertical="distributed"/>
    </xf>
    <xf numFmtId="3" fontId="18" fillId="0" borderId="13" xfId="0" applyNumberFormat="1" applyFont="1" applyFill="1" applyBorder="1" applyAlignment="1">
      <alignment vertical="distributed"/>
    </xf>
    <xf numFmtId="3" fontId="18" fillId="0" borderId="13" xfId="0" applyNumberFormat="1" applyFont="1" applyFill="1" applyBorder="1" applyAlignment="1">
      <alignment horizontal="right" vertical="distributed"/>
    </xf>
    <xf numFmtId="165" fontId="36" fillId="0" borderId="0" xfId="1" applyNumberFormat="1" applyFont="1"/>
    <xf numFmtId="165" fontId="12" fillId="0" borderId="1" xfId="1" applyNumberFormat="1" applyFont="1" applyBorder="1" applyAlignment="1">
      <alignment horizontal="center"/>
    </xf>
    <xf numFmtId="165" fontId="11" fillId="0" borderId="5" xfId="1" applyNumberFormat="1" applyFont="1" applyBorder="1"/>
    <xf numFmtId="165" fontId="15" fillId="0" borderId="1" xfId="1" applyNumberFormat="1" applyFont="1" applyBorder="1"/>
    <xf numFmtId="165" fontId="9" fillId="0" borderId="6" xfId="1" applyNumberFormat="1" applyFont="1" applyBorder="1"/>
    <xf numFmtId="165" fontId="9" fillId="0" borderId="4" xfId="1" applyNumberFormat="1" applyFont="1" applyBorder="1"/>
    <xf numFmtId="165" fontId="12" fillId="0" borderId="1" xfId="1" applyNumberFormat="1" applyFont="1" applyBorder="1"/>
    <xf numFmtId="165" fontId="11" fillId="0" borderId="7" xfId="1" applyNumberFormat="1" applyFont="1" applyBorder="1"/>
    <xf numFmtId="165" fontId="11" fillId="0" borderId="1" xfId="1" applyNumberFormat="1" applyFont="1" applyBorder="1"/>
    <xf numFmtId="165" fontId="37" fillId="0" borderId="3" xfId="1" applyNumberFormat="1" applyFont="1" applyFill="1" applyBorder="1" applyAlignment="1">
      <alignment vertical="top"/>
    </xf>
    <xf numFmtId="165" fontId="9" fillId="0" borderId="3" xfId="1" applyNumberFormat="1" applyFont="1" applyBorder="1"/>
    <xf numFmtId="0" fontId="11" fillId="0" borderId="3" xfId="0" applyFont="1" applyBorder="1"/>
    <xf numFmtId="0" fontId="10" fillId="2" borderId="1" xfId="0" applyFont="1" applyFill="1" applyBorder="1" applyAlignment="1">
      <alignment horizontal="center" vertical="center" wrapText="1"/>
    </xf>
    <xf numFmtId="9" fontId="7" fillId="0" borderId="0" xfId="2" applyFont="1"/>
    <xf numFmtId="0" fontId="14" fillId="0" borderId="1" xfId="0" applyFont="1" applyBorder="1" applyAlignment="1">
      <alignment horizontal="center" vertical="center" wrapText="1"/>
    </xf>
    <xf numFmtId="165" fontId="14" fillId="0" borderId="1" xfId="1" applyNumberFormat="1" applyFont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top"/>
    </xf>
    <xf numFmtId="165" fontId="38" fillId="0" borderId="1" xfId="1" applyNumberFormat="1" applyFont="1" applyFill="1" applyBorder="1" applyAlignment="1">
      <alignment vertical="top"/>
    </xf>
    <xf numFmtId="3" fontId="23" fillId="0" borderId="7" xfId="0" applyNumberFormat="1" applyFont="1" applyFill="1" applyBorder="1" applyAlignment="1">
      <alignment vertical="distributed"/>
    </xf>
    <xf numFmtId="165" fontId="38" fillId="0" borderId="3" xfId="1" applyNumberFormat="1" applyFont="1" applyFill="1" applyBorder="1" applyAlignment="1">
      <alignment vertical="top"/>
    </xf>
    <xf numFmtId="165" fontId="27" fillId="0" borderId="3" xfId="1" applyNumberFormat="1" applyFont="1" applyFill="1" applyBorder="1" applyAlignment="1">
      <alignment vertical="top"/>
    </xf>
    <xf numFmtId="165" fontId="39" fillId="0" borderId="3" xfId="1" applyNumberFormat="1" applyFont="1" applyFill="1" applyBorder="1" applyAlignment="1">
      <alignment vertical="top"/>
    </xf>
    <xf numFmtId="0" fontId="10" fillId="0" borderId="2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165" fontId="10" fillId="0" borderId="2" xfId="1" applyNumberFormat="1" applyFont="1" applyBorder="1" applyAlignment="1">
      <alignment horizontal="center" vertical="center" wrapText="1"/>
    </xf>
    <xf numFmtId="165" fontId="34" fillId="0" borderId="3" xfId="1" applyNumberFormat="1" applyFont="1" applyBorder="1" applyAlignment="1">
      <alignment horizontal="center" vertical="center" wrapText="1"/>
    </xf>
    <xf numFmtId="165" fontId="10" fillId="0" borderId="3" xfId="1" applyNumberFormat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5" fontId="14" fillId="0" borderId="0" xfId="1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4" fillId="0" borderId="2" xfId="0" applyFont="1" applyFill="1" applyBorder="1" applyAlignment="1">
      <alignment horizontal="center" vertical="top"/>
    </xf>
    <xf numFmtId="0" fontId="24" fillId="0" borderId="3" xfId="0" applyFont="1" applyFill="1" applyBorder="1" applyAlignment="1">
      <alignment horizontal="center" vertical="top"/>
    </xf>
    <xf numFmtId="0" fontId="18" fillId="2" borderId="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9" fillId="0" borderId="1" xfId="0" applyFont="1" applyBorder="1"/>
    <xf numFmtId="0" fontId="9" fillId="0" borderId="3" xfId="0" applyFont="1" applyBorder="1"/>
    <xf numFmtId="0" fontId="41" fillId="0" borderId="0" xfId="0" applyFont="1"/>
    <xf numFmtId="0" fontId="42" fillId="0" borderId="0" xfId="0" applyFont="1" applyAlignment="1">
      <alignment horizontal="center"/>
    </xf>
    <xf numFmtId="165" fontId="41" fillId="0" borderId="0" xfId="1" applyNumberFormat="1" applyFont="1"/>
    <xf numFmtId="165" fontId="43" fillId="0" borderId="0" xfId="1" applyNumberFormat="1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 wrapText="1"/>
    </xf>
    <xf numFmtId="165" fontId="42" fillId="0" borderId="1" xfId="1" applyNumberFormat="1" applyFont="1" applyBorder="1" applyAlignment="1">
      <alignment horizontal="center" vertical="center" wrapText="1"/>
    </xf>
    <xf numFmtId="165" fontId="42" fillId="2" borderId="15" xfId="1" applyNumberFormat="1" applyFont="1" applyFill="1" applyBorder="1" applyAlignment="1">
      <alignment horizontal="center" vertical="center" wrapText="1"/>
    </xf>
    <xf numFmtId="165" fontId="42" fillId="2" borderId="17" xfId="1" applyNumberFormat="1" applyFont="1" applyFill="1" applyBorder="1" applyAlignment="1">
      <alignment horizontal="center" vertical="center" wrapText="1"/>
    </xf>
    <xf numFmtId="165" fontId="42" fillId="2" borderId="16" xfId="1" applyNumberFormat="1" applyFont="1" applyFill="1" applyBorder="1" applyAlignment="1">
      <alignment horizontal="center" vertical="center" wrapText="1"/>
    </xf>
    <xf numFmtId="165" fontId="42" fillId="2" borderId="15" xfId="1" applyNumberFormat="1" applyFont="1" applyFill="1" applyBorder="1" applyAlignment="1">
      <alignment horizontal="center" vertical="center" wrapText="1"/>
    </xf>
    <xf numFmtId="0" fontId="42" fillId="0" borderId="15" xfId="0" applyFont="1" applyBorder="1" applyAlignment="1">
      <alignment horizontal="center" vertical="center" wrapText="1"/>
    </xf>
    <xf numFmtId="0" fontId="42" fillId="0" borderId="17" xfId="0" applyFont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center" wrapText="1"/>
    </xf>
    <xf numFmtId="165" fontId="42" fillId="0" borderId="1" xfId="1" applyNumberFormat="1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165" fontId="41" fillId="0" borderId="1" xfId="1" applyNumberFormat="1" applyFont="1" applyBorder="1" applyAlignment="1">
      <alignment horizontal="center" vertical="center" wrapText="1"/>
    </xf>
    <xf numFmtId="165" fontId="42" fillId="2" borderId="1" xfId="1" applyNumberFormat="1" applyFont="1" applyFill="1" applyBorder="1" applyAlignment="1">
      <alignment horizontal="center" vertical="center" wrapText="1"/>
    </xf>
    <xf numFmtId="9" fontId="42" fillId="0" borderId="1" xfId="2" applyFont="1" applyBorder="1" applyAlignment="1">
      <alignment horizontal="center" vertical="center" wrapText="1"/>
    </xf>
    <xf numFmtId="0" fontId="42" fillId="0" borderId="1" xfId="0" applyFont="1" applyBorder="1" applyAlignment="1">
      <alignment vertical="center" wrapText="1"/>
    </xf>
    <xf numFmtId="0" fontId="41" fillId="0" borderId="1" xfId="0" quotePrefix="1" applyFont="1" applyBorder="1" applyAlignment="1">
      <alignment vertical="center" wrapText="1"/>
    </xf>
    <xf numFmtId="165" fontId="44" fillId="2" borderId="4" xfId="1" applyNumberFormat="1" applyFont="1" applyFill="1" applyBorder="1" applyAlignment="1">
      <alignment horizontal="right"/>
    </xf>
    <xf numFmtId="0" fontId="43" fillId="0" borderId="1" xfId="0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165" fontId="45" fillId="2" borderId="4" xfId="1" applyNumberFormat="1" applyFont="1" applyFill="1" applyBorder="1" applyAlignment="1">
      <alignment horizontal="right"/>
    </xf>
    <xf numFmtId="167" fontId="46" fillId="0" borderId="4" xfId="0" applyNumberFormat="1" applyFont="1" applyBorder="1" applyAlignment="1">
      <alignment horizontal="right"/>
    </xf>
    <xf numFmtId="0" fontId="41" fillId="0" borderId="5" xfId="0" quotePrefix="1" applyFont="1" applyBorder="1" applyAlignment="1">
      <alignment vertical="center" wrapText="1"/>
    </xf>
    <xf numFmtId="0" fontId="47" fillId="0" borderId="1" xfId="4" quotePrefix="1" applyFont="1" applyBorder="1"/>
    <xf numFmtId="0" fontId="13" fillId="0" borderId="1" xfId="4" quotePrefix="1" applyFont="1" applyBorder="1"/>
    <xf numFmtId="0" fontId="41" fillId="0" borderId="0" xfId="0" applyFont="1" applyAlignment="1">
      <alignment vertical="center"/>
    </xf>
    <xf numFmtId="9" fontId="42" fillId="0" borderId="0" xfId="2" applyFont="1" applyBorder="1" applyAlignment="1">
      <alignment horizontal="center" vertical="center" wrapText="1"/>
    </xf>
    <xf numFmtId="165" fontId="42" fillId="0" borderId="0" xfId="1" applyNumberFormat="1" applyFont="1"/>
    <xf numFmtId="165" fontId="42" fillId="0" borderId="0" xfId="1" applyNumberFormat="1" applyFont="1" applyAlignment="1">
      <alignment horizontal="center" vertical="center" wrapText="1"/>
    </xf>
    <xf numFmtId="165" fontId="42" fillId="0" borderId="0" xfId="0" applyNumberFormat="1" applyFont="1"/>
    <xf numFmtId="0" fontId="41" fillId="0" borderId="0" xfId="0" applyFont="1" applyAlignment="1">
      <alignment vertical="center" wrapText="1"/>
    </xf>
    <xf numFmtId="165" fontId="42" fillId="0" borderId="0" xfId="1" applyNumberFormat="1" applyFont="1" applyAlignment="1"/>
    <xf numFmtId="0" fontId="0" fillId="0" borderId="19" xfId="0" applyBorder="1" applyAlignment="1">
      <alignment horizontal="center"/>
    </xf>
    <xf numFmtId="0" fontId="23" fillId="0" borderId="2" xfId="3" applyFont="1" applyFill="1" applyBorder="1" applyAlignment="1">
      <alignment horizontal="center" vertical="center"/>
    </xf>
    <xf numFmtId="165" fontId="23" fillId="0" borderId="2" xfId="1" applyNumberFormat="1" applyFont="1" applyFill="1" applyBorder="1" applyAlignment="1">
      <alignment horizontal="center" vertical="center"/>
    </xf>
    <xf numFmtId="0" fontId="23" fillId="0" borderId="3" xfId="3" applyFont="1" applyFill="1" applyBorder="1" applyAlignment="1">
      <alignment horizontal="center" vertical="center"/>
    </xf>
    <xf numFmtId="165" fontId="23" fillId="0" borderId="3" xfId="1" applyNumberFormat="1" applyFont="1" applyFill="1" applyBorder="1" applyAlignment="1">
      <alignment horizontal="center" vertical="center"/>
    </xf>
    <xf numFmtId="0" fontId="39" fillId="0" borderId="7" xfId="3" applyFont="1" applyFill="1" applyBorder="1" applyAlignment="1">
      <alignment horizontal="left" vertical="top" wrapText="1"/>
    </xf>
    <xf numFmtId="168" fontId="23" fillId="0" borderId="7" xfId="2" applyNumberFormat="1" applyFont="1" applyFill="1" applyBorder="1" applyAlignment="1">
      <alignment vertical="distributed"/>
    </xf>
    <xf numFmtId="168" fontId="23" fillId="0" borderId="1" xfId="2" applyNumberFormat="1" applyFont="1" applyFill="1" applyBorder="1" applyAlignment="1">
      <alignment vertical="distributed"/>
    </xf>
    <xf numFmtId="0" fontId="39" fillId="2" borderId="1" xfId="3" applyFont="1" applyFill="1" applyBorder="1" applyAlignment="1">
      <alignment horizontal="left" vertical="top" wrapText="1"/>
    </xf>
    <xf numFmtId="168" fontId="23" fillId="2" borderId="1" xfId="2" applyNumberFormat="1" applyFont="1" applyFill="1" applyBorder="1" applyAlignment="1">
      <alignment vertical="distributed"/>
    </xf>
    <xf numFmtId="0" fontId="38" fillId="0" borderId="3" xfId="0" applyFont="1" applyFill="1" applyBorder="1" applyAlignment="1">
      <alignment vertical="top"/>
    </xf>
    <xf numFmtId="168" fontId="23" fillId="0" borderId="3" xfId="2" applyNumberFormat="1" applyFont="1" applyFill="1" applyBorder="1" applyAlignment="1">
      <alignment vertical="distributed"/>
    </xf>
    <xf numFmtId="10" fontId="23" fillId="2" borderId="1" xfId="2" applyNumberFormat="1" applyFont="1" applyFill="1" applyBorder="1" applyAlignment="1">
      <alignment vertical="distributed"/>
    </xf>
    <xf numFmtId="9" fontId="23" fillId="0" borderId="3" xfId="2" applyFont="1" applyFill="1" applyBorder="1" applyAlignment="1">
      <alignment vertical="distributed"/>
    </xf>
    <xf numFmtId="0" fontId="26" fillId="0" borderId="3" xfId="0" quotePrefix="1" applyFont="1" applyFill="1" applyBorder="1" applyAlignment="1">
      <alignment horizontal="center" vertical="top"/>
    </xf>
    <xf numFmtId="0" fontId="27" fillId="0" borderId="3" xfId="0" applyFont="1" applyFill="1" applyBorder="1" applyAlignment="1">
      <alignment vertical="top"/>
    </xf>
    <xf numFmtId="9" fontId="23" fillId="2" borderId="3" xfId="2" applyFont="1" applyFill="1" applyBorder="1" applyAlignment="1">
      <alignment vertical="distributed"/>
    </xf>
    <xf numFmtId="10" fontId="23" fillId="2" borderId="3" xfId="2" applyNumberFormat="1" applyFont="1" applyFill="1" applyBorder="1" applyAlignment="1">
      <alignment vertical="distributed"/>
    </xf>
    <xf numFmtId="0" fontId="39" fillId="0" borderId="3" xfId="0" applyFont="1" applyFill="1" applyBorder="1" applyAlignment="1">
      <alignment vertical="top"/>
    </xf>
    <xf numFmtId="9" fontId="23" fillId="2" borderId="3" xfId="2" applyNumberFormat="1" applyFont="1" applyFill="1" applyBorder="1" applyAlignment="1">
      <alignment vertical="distributed"/>
    </xf>
    <xf numFmtId="0" fontId="24" fillId="0" borderId="3" xfId="0" quotePrefix="1" applyFont="1" applyFill="1" applyBorder="1" applyAlignment="1">
      <alignment horizontal="center" vertical="top"/>
    </xf>
    <xf numFmtId="0" fontId="26" fillId="0" borderId="3" xfId="0" applyFont="1" applyFill="1" applyBorder="1" applyAlignment="1">
      <alignment horizontal="center" vertical="top"/>
    </xf>
    <xf numFmtId="0" fontId="38" fillId="0" borderId="1" xfId="0" applyFont="1" applyFill="1" applyBorder="1" applyAlignment="1">
      <alignment vertical="top"/>
    </xf>
    <xf numFmtId="0" fontId="27" fillId="0" borderId="9" xfId="0" applyFont="1" applyFill="1" applyBorder="1" applyAlignment="1">
      <alignment vertical="top"/>
    </xf>
    <xf numFmtId="165" fontId="27" fillId="0" borderId="9" xfId="1" applyNumberFormat="1" applyFont="1" applyFill="1" applyBorder="1" applyAlignment="1">
      <alignment vertical="top"/>
    </xf>
    <xf numFmtId="3" fontId="28" fillId="2" borderId="18" xfId="0" applyNumberFormat="1" applyFont="1" applyFill="1" applyBorder="1" applyAlignment="1">
      <alignment horizontal="right" vertical="distributed"/>
    </xf>
    <xf numFmtId="9" fontId="28" fillId="0" borderId="9" xfId="2" applyFont="1" applyFill="1" applyBorder="1" applyAlignment="1">
      <alignment horizontal="right" vertical="distributed"/>
    </xf>
    <xf numFmtId="0" fontId="27" fillId="0" borderId="4" xfId="0" applyFont="1" applyFill="1" applyBorder="1" applyAlignment="1">
      <alignment vertical="top"/>
    </xf>
    <xf numFmtId="165" fontId="27" fillId="0" borderId="4" xfId="1" applyNumberFormat="1" applyFont="1" applyFill="1" applyBorder="1" applyAlignment="1">
      <alignment vertical="top"/>
    </xf>
    <xf numFmtId="3" fontId="28" fillId="2" borderId="14" xfId="0" applyNumberFormat="1" applyFont="1" applyFill="1" applyBorder="1" applyAlignment="1">
      <alignment horizontal="right" vertical="distributed"/>
    </xf>
    <xf numFmtId="9" fontId="28" fillId="0" borderId="4" xfId="2" applyFont="1" applyFill="1" applyBorder="1" applyAlignment="1">
      <alignment horizontal="right" vertical="distributed"/>
    </xf>
    <xf numFmtId="165" fontId="31" fillId="0" borderId="4" xfId="1" applyNumberFormat="1" applyFont="1" applyFill="1" applyBorder="1" applyAlignment="1">
      <alignment vertical="top"/>
    </xf>
    <xf numFmtId="0" fontId="31" fillId="0" borderId="11" xfId="0" applyFont="1" applyFill="1" applyBorder="1" applyAlignment="1">
      <alignment vertical="top"/>
    </xf>
    <xf numFmtId="165" fontId="31" fillId="0" borderId="12" xfId="1" applyNumberFormat="1" applyFont="1" applyFill="1" applyBorder="1" applyAlignment="1">
      <alignment vertical="top"/>
    </xf>
    <xf numFmtId="9" fontId="28" fillId="0" borderId="12" xfId="2" applyFont="1" applyFill="1" applyBorder="1" applyAlignment="1">
      <alignment horizontal="right" vertical="distributed"/>
    </xf>
    <xf numFmtId="0" fontId="39" fillId="0" borderId="1" xfId="0" applyFont="1" applyFill="1" applyBorder="1" applyAlignment="1">
      <alignment vertical="top"/>
    </xf>
    <xf numFmtId="165" fontId="39" fillId="0" borderId="1" xfId="1" applyNumberFormat="1" applyFont="1" applyFill="1" applyBorder="1" applyAlignment="1">
      <alignment vertical="top"/>
    </xf>
    <xf numFmtId="9" fontId="30" fillId="0" borderId="1" xfId="2" applyFont="1" applyFill="1" applyBorder="1" applyAlignment="1">
      <alignment horizontal="right" vertical="distributed"/>
    </xf>
    <xf numFmtId="165" fontId="39" fillId="0" borderId="9" xfId="1" applyNumberFormat="1" applyFont="1" applyFill="1" applyBorder="1" applyAlignment="1">
      <alignment vertical="top"/>
    </xf>
    <xf numFmtId="3" fontId="28" fillId="2" borderId="14" xfId="0" applyNumberFormat="1" applyFont="1" applyFill="1" applyBorder="1" applyAlignment="1">
      <alignment vertical="distributed"/>
    </xf>
    <xf numFmtId="3" fontId="23" fillId="0" borderId="9" xfId="0" applyNumberFormat="1" applyFont="1" applyFill="1" applyBorder="1" applyAlignment="1">
      <alignment horizontal="right" vertical="distributed"/>
    </xf>
    <xf numFmtId="165" fontId="39" fillId="0" borderId="4" xfId="1" applyNumberFormat="1" applyFont="1" applyFill="1" applyBorder="1" applyAlignment="1">
      <alignment vertical="top"/>
    </xf>
    <xf numFmtId="3" fontId="23" fillId="0" borderId="4" xfId="0" applyNumberFormat="1" applyFont="1" applyFill="1" applyBorder="1" applyAlignment="1">
      <alignment horizontal="right" vertical="distributed"/>
    </xf>
    <xf numFmtId="0" fontId="31" fillId="0" borderId="13" xfId="0" applyFont="1" applyFill="1" applyBorder="1" applyAlignment="1">
      <alignment vertical="top"/>
    </xf>
    <xf numFmtId="165" fontId="39" fillId="0" borderId="12" xfId="1" applyNumberFormat="1" applyFont="1" applyFill="1" applyBorder="1" applyAlignment="1">
      <alignment vertical="top"/>
    </xf>
    <xf numFmtId="3" fontId="23" fillId="0" borderId="12" xfId="0" applyNumberFormat="1" applyFont="1" applyFill="1" applyBorder="1" applyAlignment="1">
      <alignment horizontal="right" vertical="distributed"/>
    </xf>
    <xf numFmtId="0" fontId="39" fillId="0" borderId="1" xfId="3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wrapText="1"/>
    </xf>
    <xf numFmtId="165" fontId="23" fillId="2" borderId="1" xfId="1" applyNumberFormat="1" applyFont="1" applyFill="1" applyBorder="1"/>
    <xf numFmtId="165" fontId="27" fillId="2" borderId="1" xfId="1" applyNumberFormat="1" applyFont="1" applyFill="1" applyBorder="1" applyAlignment="1">
      <alignment vertical="top"/>
    </xf>
    <xf numFmtId="0" fontId="48" fillId="0" borderId="8" xfId="0" applyFont="1" applyFill="1" applyBorder="1" applyAlignment="1">
      <alignment vertical="top"/>
    </xf>
    <xf numFmtId="0" fontId="49" fillId="0" borderId="8" xfId="0" applyFont="1" applyFill="1" applyBorder="1" applyAlignment="1">
      <alignment vertical="top"/>
    </xf>
    <xf numFmtId="165" fontId="49" fillId="0" borderId="8" xfId="1" applyNumberFormat="1" applyFont="1" applyFill="1" applyBorder="1" applyAlignment="1">
      <alignment vertical="top"/>
    </xf>
    <xf numFmtId="3" fontId="14" fillId="0" borderId="7" xfId="0" applyNumberFormat="1" applyFont="1" applyFill="1" applyBorder="1" applyAlignment="1">
      <alignment vertical="distributed"/>
    </xf>
    <xf numFmtId="165" fontId="37" fillId="0" borderId="8" xfId="1" applyNumberFormat="1" applyFont="1" applyFill="1" applyBorder="1" applyAlignment="1">
      <alignment vertical="top"/>
    </xf>
    <xf numFmtId="165" fontId="37" fillId="0" borderId="14" xfId="1" applyNumberFormat="1" applyFont="1" applyFill="1" applyBorder="1" applyAlignment="1">
      <alignment vertical="top"/>
    </xf>
    <xf numFmtId="0" fontId="48" fillId="0" borderId="7" xfId="0" applyFont="1" applyFill="1" applyBorder="1" applyAlignment="1">
      <alignment vertical="top"/>
    </xf>
    <xf numFmtId="0" fontId="37" fillId="0" borderId="7" xfId="0" applyFont="1" applyFill="1" applyBorder="1" applyAlignment="1">
      <alignment vertical="top"/>
    </xf>
    <xf numFmtId="0" fontId="48" fillId="0" borderId="13" xfId="0" applyFont="1" applyFill="1" applyBorder="1" applyAlignment="1">
      <alignment vertical="top"/>
    </xf>
    <xf numFmtId="0" fontId="49" fillId="0" borderId="13" xfId="0" applyFont="1" applyFill="1" applyBorder="1" applyAlignment="1">
      <alignment vertical="top"/>
    </xf>
    <xf numFmtId="165" fontId="49" fillId="0" borderId="13" xfId="1" applyNumberFormat="1" applyFont="1" applyFill="1" applyBorder="1" applyAlignment="1">
      <alignment vertical="top"/>
    </xf>
    <xf numFmtId="0" fontId="23" fillId="2" borderId="7" xfId="0" applyFont="1" applyFill="1" applyBorder="1" applyAlignment="1">
      <alignment wrapText="1"/>
    </xf>
    <xf numFmtId="165" fontId="27" fillId="2" borderId="7" xfId="1" applyNumberFormat="1" applyFont="1" applyFill="1" applyBorder="1" applyAlignment="1">
      <alignment vertical="top"/>
    </xf>
    <xf numFmtId="3" fontId="28" fillId="0" borderId="14" xfId="0" applyNumberFormat="1" applyFont="1" applyFill="1" applyBorder="1" applyAlignment="1">
      <alignment horizontal="right" vertical="distributed"/>
    </xf>
    <xf numFmtId="0" fontId="26" fillId="0" borderId="7" xfId="0" applyFont="1" applyFill="1" applyBorder="1" applyAlignment="1">
      <alignment vertical="top"/>
    </xf>
    <xf numFmtId="3" fontId="28" fillId="0" borderId="7" xfId="0" applyNumberFormat="1" applyFont="1" applyFill="1" applyBorder="1" applyAlignment="1">
      <alignment horizontal="right" vertical="distributed"/>
    </xf>
    <xf numFmtId="0" fontId="29" fillId="0" borderId="20" xfId="0" applyFont="1" applyFill="1" applyBorder="1"/>
    <xf numFmtId="0" fontId="18" fillId="0" borderId="8" xfId="0" applyFont="1" applyFill="1" applyBorder="1" applyAlignment="1">
      <alignment horizontal="left" vertical="top" wrapText="1"/>
    </xf>
    <xf numFmtId="165" fontId="18" fillId="0" borderId="21" xfId="1" applyNumberFormat="1" applyFont="1" applyFill="1" applyBorder="1" applyAlignment="1">
      <alignment horizontal="left" vertical="top" wrapText="1"/>
    </xf>
    <xf numFmtId="3" fontId="18" fillId="0" borderId="21" xfId="0" applyNumberFormat="1" applyFont="1" applyFill="1" applyBorder="1" applyAlignment="1">
      <alignment horizontal="center" vertical="distributed"/>
    </xf>
    <xf numFmtId="3" fontId="18" fillId="0" borderId="22" xfId="0" applyNumberFormat="1" applyFont="1" applyFill="1" applyBorder="1" applyAlignment="1">
      <alignment horizontal="center" vertical="distributed"/>
    </xf>
    <xf numFmtId="0" fontId="29" fillId="0" borderId="23" xfId="0" applyFont="1" applyFill="1" applyBorder="1"/>
    <xf numFmtId="0" fontId="18" fillId="0" borderId="13" xfId="0" applyFont="1" applyFill="1" applyBorder="1" applyAlignment="1">
      <alignment horizontal="left" vertical="top" wrapText="1"/>
    </xf>
    <xf numFmtId="165" fontId="18" fillId="0" borderId="24" xfId="1" applyNumberFormat="1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center" vertical="distributed"/>
    </xf>
  </cellXfs>
  <cellStyles count="5">
    <cellStyle name="Comma" xfId="1" builtinId="3"/>
    <cellStyle name="Normal" xfId="0" builtinId="0"/>
    <cellStyle name="Normal 2 2" xfId="4"/>
    <cellStyle name="Normal 5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39"/>
  <sheetViews>
    <sheetView topLeftCell="A18" workbookViewId="0">
      <selection activeCell="F25" sqref="F25:F27"/>
    </sheetView>
  </sheetViews>
  <sheetFormatPr defaultRowHeight="15.75"/>
  <cols>
    <col min="1" max="1" width="7.25" customWidth="1"/>
    <col min="2" max="2" width="58.875" customWidth="1"/>
    <col min="3" max="3" width="22.5" style="118" customWidth="1"/>
    <col min="4" max="4" width="22.75" style="118" customWidth="1"/>
    <col min="5" max="5" width="11.625" style="70" customWidth="1"/>
    <col min="6" max="6" width="16.375" style="70" customWidth="1"/>
    <col min="7" max="7" width="21.375" customWidth="1"/>
  </cols>
  <sheetData>
    <row r="1" spans="1:12" ht="16.5" customHeight="1">
      <c r="A1" s="148" t="s">
        <v>27</v>
      </c>
      <c r="B1" s="148"/>
      <c r="C1" s="149" t="s">
        <v>12</v>
      </c>
      <c r="D1" s="149"/>
      <c r="E1" s="149"/>
      <c r="F1" s="149"/>
    </row>
    <row r="2" spans="1:12">
      <c r="A2" s="150" t="s">
        <v>28</v>
      </c>
      <c r="B2" s="150"/>
      <c r="C2" s="149" t="s">
        <v>13</v>
      </c>
      <c r="D2" s="149"/>
      <c r="E2" s="149"/>
      <c r="F2" s="149"/>
    </row>
    <row r="3" spans="1:12" ht="19.5" customHeight="1">
      <c r="A3" s="7"/>
      <c r="B3" s="7"/>
    </row>
    <row r="4" spans="1:12" ht="20.25" customHeight="1"/>
    <row r="5" spans="1:12" ht="21.75" customHeight="1">
      <c r="A5" s="147" t="s">
        <v>14</v>
      </c>
      <c r="B5" s="147"/>
      <c r="C5" s="147"/>
      <c r="D5" s="147"/>
      <c r="E5" s="147"/>
      <c r="F5" s="147"/>
      <c r="G5" s="1"/>
      <c r="H5" s="1"/>
      <c r="I5" s="1"/>
      <c r="J5" s="1"/>
      <c r="K5" s="1"/>
      <c r="L5" s="1"/>
    </row>
    <row r="6" spans="1:12" ht="21" customHeight="1">
      <c r="A6" s="147" t="s">
        <v>144</v>
      </c>
      <c r="B6" s="147"/>
      <c r="C6" s="147"/>
      <c r="D6" s="147"/>
      <c r="E6" s="147"/>
      <c r="F6" s="147"/>
    </row>
    <row r="7" spans="1:12" ht="15" customHeight="1">
      <c r="G7" s="74"/>
    </row>
    <row r="8" spans="1:12">
      <c r="F8" s="103" t="s">
        <v>114</v>
      </c>
    </row>
    <row r="9" spans="1:12" s="2" customFormat="1" ht="22.5" customHeight="1">
      <c r="A9" s="140" t="s">
        <v>0</v>
      </c>
      <c r="B9" s="140" t="s">
        <v>3</v>
      </c>
      <c r="C9" s="142" t="s">
        <v>145</v>
      </c>
      <c r="D9" s="142" t="s">
        <v>146</v>
      </c>
      <c r="E9" s="145" t="s">
        <v>111</v>
      </c>
      <c r="F9" s="146"/>
    </row>
    <row r="10" spans="1:12" s="2" customFormat="1" ht="50.25" customHeight="1">
      <c r="A10" s="141"/>
      <c r="B10" s="141"/>
      <c r="C10" s="143"/>
      <c r="D10" s="144"/>
      <c r="E10" s="95" t="s">
        <v>112</v>
      </c>
      <c r="F10" s="130" t="s">
        <v>113</v>
      </c>
    </row>
    <row r="11" spans="1:12" s="2" customFormat="1" ht="23.25" customHeight="1">
      <c r="A11" s="76" t="s">
        <v>1</v>
      </c>
      <c r="B11" s="76" t="s">
        <v>2</v>
      </c>
      <c r="C11" s="8">
        <v>1</v>
      </c>
      <c r="D11" s="8">
        <v>2</v>
      </c>
      <c r="E11" s="13" t="s">
        <v>4</v>
      </c>
      <c r="F11" s="13">
        <v>4</v>
      </c>
      <c r="G11" s="75"/>
    </row>
    <row r="12" spans="1:12" s="2" customFormat="1" ht="23.25">
      <c r="A12" s="77" t="s">
        <v>1</v>
      </c>
      <c r="B12" s="78" t="s">
        <v>147</v>
      </c>
      <c r="C12" s="119">
        <f>C13+C18+C19</f>
        <v>3632624000000</v>
      </c>
      <c r="D12" s="119">
        <f>D13+D18+D19</f>
        <v>1039908209929</v>
      </c>
      <c r="E12" s="96">
        <f>D12/C12*100%</f>
        <v>0.28626915693146332</v>
      </c>
      <c r="F12" s="96">
        <v>1.05</v>
      </c>
      <c r="G12" s="75"/>
      <c r="H12" s="5"/>
    </row>
    <row r="13" spans="1:12" s="2" customFormat="1" ht="18.75">
      <c r="A13" s="79" t="s">
        <v>5</v>
      </c>
      <c r="B13" s="80" t="s">
        <v>33</v>
      </c>
      <c r="C13" s="120">
        <f>SUM(C15:C16)</f>
        <v>2070400000000</v>
      </c>
      <c r="D13" s="120">
        <f>SUM(D15:D16)</f>
        <v>719561959930</v>
      </c>
      <c r="E13" s="9">
        <f t="shared" ref="E13:E32" si="0">D13/C13*100%</f>
        <v>0.3475473144947836</v>
      </c>
      <c r="F13" s="9">
        <v>1.32</v>
      </c>
      <c r="G13" s="75"/>
    </row>
    <row r="14" spans="1:12" s="2" customFormat="1" ht="18.75">
      <c r="A14" s="81"/>
      <c r="B14" s="82" t="s">
        <v>44</v>
      </c>
      <c r="C14" s="121">
        <f>C15-258000000000</f>
        <v>1812400000000</v>
      </c>
      <c r="D14" s="121">
        <f>D15-79643300500</f>
        <v>639918659430</v>
      </c>
      <c r="E14" s="9">
        <f t="shared" si="0"/>
        <v>0.35307805088832489</v>
      </c>
      <c r="F14" s="9">
        <v>1.31</v>
      </c>
      <c r="G14" s="75"/>
    </row>
    <row r="15" spans="1:12" s="2" customFormat="1" ht="18.75">
      <c r="A15" s="83">
        <v>1</v>
      </c>
      <c r="B15" s="84" t="s">
        <v>34</v>
      </c>
      <c r="C15" s="122">
        <v>2070400000000</v>
      </c>
      <c r="D15" s="122">
        <f>719561959930</f>
        <v>719561959930</v>
      </c>
      <c r="E15" s="9">
        <f t="shared" si="0"/>
        <v>0.3475473144947836</v>
      </c>
      <c r="F15" s="97">
        <v>1.32</v>
      </c>
      <c r="G15" s="131"/>
    </row>
    <row r="16" spans="1:12" s="2" customFormat="1" ht="18.75">
      <c r="A16" s="85">
        <v>2</v>
      </c>
      <c r="B16" s="86" t="s">
        <v>17</v>
      </c>
      <c r="C16" s="10">
        <v>0</v>
      </c>
      <c r="D16" s="123"/>
      <c r="E16" s="9"/>
      <c r="F16" s="9"/>
    </row>
    <row r="17" spans="1:7" s="2" customFormat="1" ht="18.75">
      <c r="A17" s="87">
        <v>3</v>
      </c>
      <c r="B17" s="86" t="s">
        <v>26</v>
      </c>
      <c r="C17" s="10">
        <v>0</v>
      </c>
      <c r="D17" s="10"/>
      <c r="E17" s="9"/>
      <c r="F17" s="9"/>
      <c r="G17" s="75"/>
    </row>
    <row r="18" spans="1:7" s="2" customFormat="1" ht="18.75">
      <c r="A18" s="88" t="s">
        <v>8</v>
      </c>
      <c r="B18" s="80" t="s">
        <v>22</v>
      </c>
      <c r="C18" s="120">
        <v>1030282000000</v>
      </c>
      <c r="D18" s="120">
        <v>320346249999</v>
      </c>
      <c r="E18" s="9">
        <f t="shared" si="0"/>
        <v>0.31093064811284676</v>
      </c>
      <c r="F18" s="9">
        <v>0.72</v>
      </c>
      <c r="G18" s="75"/>
    </row>
    <row r="19" spans="1:7" s="2" customFormat="1" ht="18.75">
      <c r="A19" s="88" t="s">
        <v>9</v>
      </c>
      <c r="B19" s="80" t="s">
        <v>35</v>
      </c>
      <c r="C19" s="120">
        <v>531942000000</v>
      </c>
      <c r="D19" s="10">
        <v>0</v>
      </c>
      <c r="E19" s="9"/>
      <c r="F19" s="9"/>
      <c r="G19" s="131"/>
    </row>
    <row r="20" spans="1:7" s="2" customFormat="1" ht="18.75">
      <c r="A20" s="88" t="s">
        <v>11</v>
      </c>
      <c r="B20" s="80" t="s">
        <v>37</v>
      </c>
      <c r="C20" s="120"/>
      <c r="D20" s="10"/>
      <c r="E20" s="9"/>
      <c r="F20" s="9"/>
    </row>
    <row r="21" spans="1:7" s="2" customFormat="1" ht="23.25">
      <c r="A21" s="77" t="s">
        <v>2</v>
      </c>
      <c r="B21" s="78" t="s">
        <v>38</v>
      </c>
      <c r="C21" s="124">
        <f>C22+C37</f>
        <v>3632624000000</v>
      </c>
      <c r="D21" s="124">
        <f>D22+D37+D38</f>
        <v>876799776159</v>
      </c>
      <c r="E21" s="98">
        <f t="shared" si="0"/>
        <v>0.24136816146097145</v>
      </c>
      <c r="F21" s="99">
        <v>1.79</v>
      </c>
      <c r="G21" s="14"/>
    </row>
    <row r="22" spans="1:7" s="2" customFormat="1" ht="18.75">
      <c r="A22" s="89" t="s">
        <v>5</v>
      </c>
      <c r="B22" s="90" t="s">
        <v>18</v>
      </c>
      <c r="C22" s="125">
        <f>C23+C30+C33+C36</f>
        <v>3632624000000</v>
      </c>
      <c r="D22" s="125">
        <f>D23+D30</f>
        <v>868011920189</v>
      </c>
      <c r="E22" s="100">
        <f t="shared" si="0"/>
        <v>0.23894901321716752</v>
      </c>
      <c r="F22" s="97">
        <v>1.82</v>
      </c>
    </row>
    <row r="23" spans="1:7" s="2" customFormat="1" ht="18.75">
      <c r="A23" s="77">
        <v>1</v>
      </c>
      <c r="B23" s="78" t="s">
        <v>6</v>
      </c>
      <c r="C23" s="126">
        <f>C24+C29</f>
        <v>599867000000</v>
      </c>
      <c r="D23" s="126">
        <f>D24+D29</f>
        <v>191283619183</v>
      </c>
      <c r="E23" s="12">
        <v>0.02</v>
      </c>
      <c r="F23" s="12">
        <v>5.25</v>
      </c>
      <c r="G23" s="14"/>
    </row>
    <row r="24" spans="1:7" s="2" customFormat="1" ht="21" customHeight="1">
      <c r="A24" s="77" t="s">
        <v>15</v>
      </c>
      <c r="B24" s="78" t="s">
        <v>41</v>
      </c>
      <c r="C24" s="126">
        <f>SUM(C25:C28)</f>
        <v>597167000000</v>
      </c>
      <c r="D24" s="126">
        <f>SUM(D25:D28)</f>
        <v>190152000000</v>
      </c>
      <c r="E24" s="12">
        <v>0.02</v>
      </c>
      <c r="F24" s="12">
        <v>8.41</v>
      </c>
    </row>
    <row r="25" spans="1:7" s="2" customFormat="1" ht="18.75">
      <c r="A25" s="83" t="s">
        <v>40</v>
      </c>
      <c r="B25" s="84" t="s">
        <v>29</v>
      </c>
      <c r="C25" s="127">
        <v>246936000000</v>
      </c>
      <c r="D25" s="122">
        <v>95363000000</v>
      </c>
      <c r="E25" s="101">
        <f t="shared" si="0"/>
        <v>0.38618508439433702</v>
      </c>
      <c r="F25" s="101">
        <v>18.97</v>
      </c>
    </row>
    <row r="26" spans="1:7" s="2" customFormat="1" ht="18.75">
      <c r="A26" s="85" t="s">
        <v>40</v>
      </c>
      <c r="B26" s="91" t="s">
        <v>30</v>
      </c>
      <c r="C26" s="127">
        <v>255300000000</v>
      </c>
      <c r="D26" s="122">
        <v>74601000000</v>
      </c>
      <c r="E26" s="102">
        <f t="shared" si="0"/>
        <v>0.29220916568742655</v>
      </c>
      <c r="F26" s="102">
        <v>8.59</v>
      </c>
      <c r="G26" s="75"/>
    </row>
    <row r="27" spans="1:7" s="2" customFormat="1" ht="18.75">
      <c r="A27" s="85" t="s">
        <v>40</v>
      </c>
      <c r="B27" s="91" t="s">
        <v>31</v>
      </c>
      <c r="C27" s="127">
        <v>83931000000</v>
      </c>
      <c r="D27" s="122">
        <v>10188000000</v>
      </c>
      <c r="E27" s="102">
        <f t="shared" si="0"/>
        <v>0.12138542374093005</v>
      </c>
      <c r="F27" s="102">
        <v>1.1499999999999999</v>
      </c>
      <c r="G27" s="14"/>
    </row>
    <row r="28" spans="1:7" s="2" customFormat="1" ht="18.75">
      <c r="A28" s="92" t="s">
        <v>40</v>
      </c>
      <c r="B28" s="86" t="s">
        <v>36</v>
      </c>
      <c r="C28" s="127">
        <v>11000000000</v>
      </c>
      <c r="D28" s="10">
        <v>10000000000</v>
      </c>
      <c r="E28" s="102">
        <f t="shared" si="0"/>
        <v>0.90909090909090906</v>
      </c>
      <c r="F28" s="9">
        <v>1</v>
      </c>
      <c r="G28" s="14"/>
    </row>
    <row r="29" spans="1:7" s="2" customFormat="1" ht="21" customHeight="1">
      <c r="A29" s="77" t="s">
        <v>16</v>
      </c>
      <c r="B29" s="78" t="s">
        <v>42</v>
      </c>
      <c r="C29" s="126">
        <v>2700000000</v>
      </c>
      <c r="D29" s="126">
        <v>1131619183</v>
      </c>
      <c r="E29" s="12"/>
      <c r="F29" s="12">
        <v>0.08</v>
      </c>
    </row>
    <row r="30" spans="1:7" s="2" customFormat="1" ht="18.75">
      <c r="A30" s="77">
        <v>2</v>
      </c>
      <c r="B30" s="78" t="s">
        <v>19</v>
      </c>
      <c r="C30" s="126">
        <f>C31+C32</f>
        <v>2959957000000</v>
      </c>
      <c r="D30" s="126">
        <f>D31+D32</f>
        <v>676728301006</v>
      </c>
      <c r="E30" s="99">
        <f t="shared" si="0"/>
        <v>0.22862774729700466</v>
      </c>
      <c r="F30" s="99">
        <v>1.53</v>
      </c>
    </row>
    <row r="31" spans="1:7" s="2" customFormat="1" ht="18.75">
      <c r="A31" s="93"/>
      <c r="B31" s="84" t="s">
        <v>20</v>
      </c>
      <c r="C31" s="122">
        <v>2566174000000</v>
      </c>
      <c r="D31" s="122">
        <v>599028253150</v>
      </c>
      <c r="E31" s="101">
        <f t="shared" si="0"/>
        <v>0.23343243799913801</v>
      </c>
      <c r="F31" s="101">
        <v>1.61</v>
      </c>
    </row>
    <row r="32" spans="1:7" s="2" customFormat="1" ht="18.75">
      <c r="A32" s="88"/>
      <c r="B32" s="86" t="s">
        <v>25</v>
      </c>
      <c r="C32" s="10">
        <v>393783000000</v>
      </c>
      <c r="D32" s="122">
        <v>77700047856</v>
      </c>
      <c r="E32" s="9">
        <f t="shared" si="0"/>
        <v>0.1973169178354576</v>
      </c>
      <c r="F32" s="9">
        <v>1.33</v>
      </c>
    </row>
    <row r="33" spans="1:6" s="2" customFormat="1" ht="18.75">
      <c r="A33" s="77">
        <v>3</v>
      </c>
      <c r="B33" s="78" t="s">
        <v>7</v>
      </c>
      <c r="C33" s="126">
        <v>72800000000</v>
      </c>
      <c r="D33" s="11">
        <v>0</v>
      </c>
      <c r="E33" s="11"/>
      <c r="F33" s="12"/>
    </row>
    <row r="34" spans="1:6" s="2" customFormat="1" ht="18.75">
      <c r="A34" s="93"/>
      <c r="B34" s="94" t="s">
        <v>20</v>
      </c>
      <c r="C34" s="122">
        <v>64924000000</v>
      </c>
      <c r="D34" s="122"/>
      <c r="E34" s="9"/>
      <c r="F34" s="101"/>
    </row>
    <row r="35" spans="1:6" s="2" customFormat="1" ht="18.75">
      <c r="A35" s="88"/>
      <c r="B35" s="86" t="s">
        <v>25</v>
      </c>
      <c r="C35" s="10">
        <v>7876000000</v>
      </c>
      <c r="D35" s="10"/>
      <c r="E35" s="9"/>
      <c r="F35" s="9"/>
    </row>
    <row r="36" spans="1:6" s="2" customFormat="1" ht="18.75">
      <c r="A36" s="77">
        <v>4</v>
      </c>
      <c r="B36" s="78" t="s">
        <v>32</v>
      </c>
      <c r="C36" s="126">
        <v>0</v>
      </c>
      <c r="D36" s="11"/>
      <c r="E36" s="12"/>
      <c r="F36" s="12"/>
    </row>
    <row r="37" spans="1:6" s="2" customFormat="1" ht="18.75">
      <c r="A37" s="3" t="s">
        <v>8</v>
      </c>
      <c r="B37" s="78" t="s">
        <v>46</v>
      </c>
      <c r="C37" s="126">
        <v>0</v>
      </c>
      <c r="D37" s="126">
        <v>7114000000</v>
      </c>
      <c r="E37" s="163"/>
      <c r="F37" s="12"/>
    </row>
    <row r="38" spans="1:6" s="2" customFormat="1" ht="18.75">
      <c r="A38" s="3" t="s">
        <v>9</v>
      </c>
      <c r="B38" s="129" t="s">
        <v>45</v>
      </c>
      <c r="C38" s="128"/>
      <c r="D38" s="126">
        <v>1673855970</v>
      </c>
      <c r="E38" s="164"/>
      <c r="F38" s="12"/>
    </row>
    <row r="39" spans="1:6" ht="18.75" hidden="1" customHeight="1">
      <c r="A39" s="3" t="s">
        <v>11</v>
      </c>
      <c r="B39" s="6" t="s">
        <v>39</v>
      </c>
      <c r="C39" s="128"/>
      <c r="D39" s="11">
        <v>0</v>
      </c>
      <c r="E39" s="164"/>
      <c r="F39" s="12"/>
    </row>
  </sheetData>
  <mergeCells count="11">
    <mergeCell ref="A6:F6"/>
    <mergeCell ref="A1:B1"/>
    <mergeCell ref="C1:F1"/>
    <mergeCell ref="A2:B2"/>
    <mergeCell ref="C2:F2"/>
    <mergeCell ref="A5:F5"/>
    <mergeCell ref="A9:A10"/>
    <mergeCell ref="B9:B10"/>
    <mergeCell ref="C9:C10"/>
    <mergeCell ref="D9:D10"/>
    <mergeCell ref="E9:F9"/>
  </mergeCells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R93"/>
  <sheetViews>
    <sheetView workbookViewId="0">
      <selection activeCell="K7" sqref="K7"/>
    </sheetView>
  </sheetViews>
  <sheetFormatPr defaultRowHeight="15.75"/>
  <cols>
    <col min="1" max="1" width="4.125" style="165" customWidth="1"/>
    <col min="2" max="2" width="43.375" style="165" customWidth="1"/>
    <col min="3" max="3" width="17.25" style="167" customWidth="1"/>
    <col min="4" max="4" width="18.375" style="167" customWidth="1"/>
    <col min="5" max="5" width="18.125" style="167" customWidth="1"/>
    <col min="6" max="6" width="20.375" style="167" customWidth="1"/>
    <col min="7" max="7" width="20.25" style="167" customWidth="1"/>
    <col min="8" max="8" width="20.375" style="167" hidden="1" customWidth="1"/>
    <col min="9" max="9" width="8.875" style="165" customWidth="1"/>
    <col min="10" max="10" width="8.625" style="165" customWidth="1"/>
    <col min="11" max="11" width="7.375" style="165" customWidth="1"/>
    <col min="12" max="16384" width="9" style="165"/>
  </cols>
  <sheetData>
    <row r="1" spans="1:11">
      <c r="A1" s="152" t="s">
        <v>27</v>
      </c>
      <c r="B1" s="152"/>
      <c r="C1" s="151" t="s">
        <v>12</v>
      </c>
      <c r="D1" s="151"/>
      <c r="E1" s="151"/>
      <c r="F1" s="151"/>
      <c r="G1" s="151"/>
      <c r="H1" s="151"/>
      <c r="I1" s="151"/>
    </row>
    <row r="2" spans="1:11">
      <c r="A2" s="153" t="s">
        <v>28</v>
      </c>
      <c r="B2" s="153"/>
      <c r="C2" s="151" t="s">
        <v>47</v>
      </c>
      <c r="D2" s="151"/>
      <c r="E2" s="151"/>
      <c r="F2" s="151"/>
      <c r="G2" s="151"/>
      <c r="H2" s="151"/>
      <c r="I2" s="151"/>
    </row>
    <row r="3" spans="1:11">
      <c r="A3" s="166"/>
      <c r="B3" s="166"/>
    </row>
    <row r="4" spans="1:11" ht="27" customHeight="1">
      <c r="A4" s="151" t="s">
        <v>148</v>
      </c>
      <c r="B4" s="151"/>
      <c r="C4" s="151"/>
      <c r="D4" s="151"/>
      <c r="E4" s="151"/>
      <c r="F4" s="151"/>
      <c r="G4" s="151"/>
      <c r="H4" s="151"/>
      <c r="I4" s="151"/>
      <c r="J4" s="151"/>
      <c r="K4" s="200"/>
    </row>
    <row r="5" spans="1:11">
      <c r="I5" s="168"/>
    </row>
    <row r="6" spans="1:11" ht="48" customHeight="1">
      <c r="A6" s="169" t="s">
        <v>0</v>
      </c>
      <c r="B6" s="169" t="s">
        <v>3</v>
      </c>
      <c r="C6" s="170" t="s">
        <v>145</v>
      </c>
      <c r="D6" s="170"/>
      <c r="E6" s="171" t="s">
        <v>157</v>
      </c>
      <c r="F6" s="172"/>
      <c r="G6" s="173"/>
      <c r="H6" s="174"/>
      <c r="I6" s="175" t="s">
        <v>115</v>
      </c>
      <c r="J6" s="176"/>
      <c r="K6" s="177"/>
    </row>
    <row r="7" spans="1:11" ht="126" customHeight="1">
      <c r="A7" s="169"/>
      <c r="B7" s="169"/>
      <c r="C7" s="178" t="s">
        <v>48</v>
      </c>
      <c r="D7" s="178" t="s">
        <v>49</v>
      </c>
      <c r="E7" s="178" t="s">
        <v>149</v>
      </c>
      <c r="F7" s="178" t="s">
        <v>158</v>
      </c>
      <c r="G7" s="178" t="s">
        <v>159</v>
      </c>
      <c r="H7" s="178"/>
      <c r="I7" s="179" t="s">
        <v>151</v>
      </c>
      <c r="J7" s="179" t="s">
        <v>150</v>
      </c>
      <c r="K7" s="179" t="s">
        <v>116</v>
      </c>
    </row>
    <row r="8" spans="1:11">
      <c r="A8" s="180" t="s">
        <v>1</v>
      </c>
      <c r="B8" s="180" t="s">
        <v>2</v>
      </c>
      <c r="C8" s="181">
        <v>1</v>
      </c>
      <c r="D8" s="181">
        <v>2</v>
      </c>
      <c r="E8" s="181">
        <v>3</v>
      </c>
      <c r="F8" s="181">
        <v>4</v>
      </c>
      <c r="G8" s="181">
        <v>5</v>
      </c>
      <c r="H8" s="181"/>
      <c r="I8" s="180" t="s">
        <v>117</v>
      </c>
      <c r="J8" s="180" t="s">
        <v>118</v>
      </c>
      <c r="K8" s="180">
        <v>8</v>
      </c>
    </row>
    <row r="9" spans="1:11" ht="48" customHeight="1">
      <c r="A9" s="179"/>
      <c r="B9" s="179" t="s">
        <v>119</v>
      </c>
      <c r="C9" s="182">
        <f>C11+C37+C38+C45+C46+C47+C48</f>
        <v>5003124000000</v>
      </c>
      <c r="D9" s="182">
        <f t="shared" ref="D9:G9" si="0">D11+D37+D38+D45+D46+D47+D48</f>
        <v>3632624000000</v>
      </c>
      <c r="E9" s="182">
        <f t="shared" si="0"/>
        <v>463150179606</v>
      </c>
      <c r="F9" s="182">
        <f t="shared" si="0"/>
        <v>1538376541723</v>
      </c>
      <c r="G9" s="182">
        <f t="shared" si="0"/>
        <v>1039908209929</v>
      </c>
      <c r="H9" s="182">
        <f t="shared" ref="H9" si="1">H11+H37+H38</f>
        <v>1329459703453</v>
      </c>
      <c r="I9" s="183">
        <f t="shared" ref="I9:J15" si="2">(F9/C9)*100%</f>
        <v>0.30748319284571002</v>
      </c>
      <c r="J9" s="183">
        <f t="shared" si="2"/>
        <v>0.28626915693146332</v>
      </c>
      <c r="K9" s="183">
        <f>F9/H9</f>
        <v>1.1571441674594432</v>
      </c>
    </row>
    <row r="10" spans="1:11" ht="48" hidden="1" customHeight="1">
      <c r="A10" s="179"/>
      <c r="B10" s="179" t="s">
        <v>120</v>
      </c>
      <c r="C10" s="182">
        <f>C11+C37+C38</f>
        <v>4471182000000</v>
      </c>
      <c r="D10" s="182">
        <f t="shared" ref="D10:H10" si="3">D11+D37+D38</f>
        <v>3100682000000</v>
      </c>
      <c r="E10" s="182">
        <f t="shared" si="3"/>
        <v>463150179606</v>
      </c>
      <c r="F10" s="182">
        <f>F11+F37+F38</f>
        <v>1538376541723</v>
      </c>
      <c r="G10" s="182">
        <f t="shared" si="3"/>
        <v>1039908209929</v>
      </c>
      <c r="H10" s="182">
        <f t="shared" si="3"/>
        <v>1329459703453</v>
      </c>
      <c r="I10" s="183">
        <f t="shared" si="2"/>
        <v>0.34406484498349654</v>
      </c>
      <c r="J10" s="183">
        <f t="shared" si="2"/>
        <v>0.33538047756235562</v>
      </c>
      <c r="K10" s="183">
        <f>F10/H10</f>
        <v>1.1571441674594432</v>
      </c>
    </row>
    <row r="11" spans="1:11" ht="27.75" customHeight="1">
      <c r="A11" s="179" t="s">
        <v>5</v>
      </c>
      <c r="B11" s="184" t="s">
        <v>121</v>
      </c>
      <c r="C11" s="178">
        <f t="shared" ref="C11:H11" si="4">C12+C18+C20+C22+C23+C24+C26+C28+C32+C34+C29+C31+C36</f>
        <v>3440900000000</v>
      </c>
      <c r="D11" s="178">
        <f t="shared" si="4"/>
        <v>2070400000000</v>
      </c>
      <c r="E11" s="178">
        <f t="shared" si="4"/>
        <v>385270096273</v>
      </c>
      <c r="F11" s="178">
        <f t="shared" si="4"/>
        <v>1218030291724</v>
      </c>
      <c r="G11" s="178">
        <f t="shared" si="4"/>
        <v>719561959930</v>
      </c>
      <c r="H11" s="178">
        <f t="shared" si="4"/>
        <v>884381703453</v>
      </c>
      <c r="I11" s="183">
        <f t="shared" si="2"/>
        <v>0.3539859605696184</v>
      </c>
      <c r="J11" s="183">
        <f t="shared" si="2"/>
        <v>0.3475473144947836</v>
      </c>
      <c r="K11" s="183">
        <f>F11/H11</f>
        <v>1.377267628862396</v>
      </c>
    </row>
    <row r="12" spans="1:11">
      <c r="A12" s="179">
        <v>1</v>
      </c>
      <c r="B12" s="184" t="s">
        <v>50</v>
      </c>
      <c r="C12" s="178">
        <f>SUM(C13:C17)</f>
        <v>1950000000000</v>
      </c>
      <c r="D12" s="178">
        <f t="shared" ref="D12:G12" si="5">SUM(D13:D17)</f>
        <v>985000000000</v>
      </c>
      <c r="E12" s="178">
        <f t="shared" si="5"/>
        <v>198432130030</v>
      </c>
      <c r="F12" s="178">
        <f t="shared" si="5"/>
        <v>697285287912</v>
      </c>
      <c r="G12" s="178">
        <f t="shared" si="5"/>
        <v>351628492422</v>
      </c>
      <c r="H12" s="178">
        <f>SUM(H13:H17)</f>
        <v>468906213933</v>
      </c>
      <c r="I12" s="183">
        <f t="shared" si="2"/>
        <v>0.35758219892923077</v>
      </c>
      <c r="J12" s="183">
        <f t="shared" si="2"/>
        <v>0.35698324103756346</v>
      </c>
      <c r="K12" s="183">
        <f t="shared" ref="K12:K32" si="6">F12/H12</f>
        <v>1.4870463798366982</v>
      </c>
    </row>
    <row r="13" spans="1:11">
      <c r="A13" s="180"/>
      <c r="B13" s="185" t="s">
        <v>122</v>
      </c>
      <c r="C13" s="181">
        <v>1505000000000</v>
      </c>
      <c r="D13" s="181">
        <f>C13*50%</f>
        <v>752500000000</v>
      </c>
      <c r="E13" s="181">
        <v>116337961988</v>
      </c>
      <c r="F13" s="181">
        <v>502305945445</v>
      </c>
      <c r="G13" s="181">
        <v>251152976131</v>
      </c>
      <c r="H13" s="186">
        <v>367431764194</v>
      </c>
      <c r="I13" s="183">
        <f t="shared" si="2"/>
        <v>0.33375810328571426</v>
      </c>
      <c r="J13" s="183">
        <f t="shared" si="2"/>
        <v>0.33375810781528237</v>
      </c>
      <c r="K13" s="183">
        <f t="shared" si="6"/>
        <v>1.3670727313052551</v>
      </c>
    </row>
    <row r="14" spans="1:11">
      <c r="A14" s="180"/>
      <c r="B14" s="185" t="s">
        <v>123</v>
      </c>
      <c r="C14" s="181">
        <v>422000000000</v>
      </c>
      <c r="D14" s="181">
        <f t="shared" ref="D14:D15" si="7">C14*50%</f>
        <v>211000000000</v>
      </c>
      <c r="E14" s="181">
        <v>80585592586</v>
      </c>
      <c r="F14" s="181">
        <v>188343644801</v>
      </c>
      <c r="G14" s="181">
        <v>94171823124</v>
      </c>
      <c r="H14" s="186">
        <v>95324173603</v>
      </c>
      <c r="I14" s="183">
        <f t="shared" si="2"/>
        <v>0.44631195450473932</v>
      </c>
      <c r="J14" s="183">
        <f t="shared" si="2"/>
        <v>0.44631195793364931</v>
      </c>
      <c r="K14" s="183">
        <f t="shared" si="6"/>
        <v>1.9758224769448465</v>
      </c>
    </row>
    <row r="15" spans="1:11">
      <c r="A15" s="180"/>
      <c r="B15" s="185" t="s">
        <v>124</v>
      </c>
      <c r="C15" s="181">
        <v>3000000000</v>
      </c>
      <c r="D15" s="181">
        <f t="shared" si="7"/>
        <v>1500000000</v>
      </c>
      <c r="E15" s="181">
        <v>220021825</v>
      </c>
      <c r="F15" s="181">
        <v>664009072</v>
      </c>
      <c r="G15" s="181">
        <v>332004573</v>
      </c>
      <c r="H15" s="186">
        <v>768528099</v>
      </c>
      <c r="I15" s="183">
        <f t="shared" si="2"/>
        <v>0.22133635733333334</v>
      </c>
      <c r="J15" s="183">
        <f t="shared" si="2"/>
        <v>0.221336382</v>
      </c>
      <c r="K15" s="183">
        <f t="shared" si="6"/>
        <v>0.8640010337474987</v>
      </c>
    </row>
    <row r="16" spans="1:11" ht="31.5">
      <c r="A16" s="180"/>
      <c r="B16" s="187" t="s">
        <v>51</v>
      </c>
      <c r="C16" s="181"/>
      <c r="D16" s="181"/>
      <c r="E16" s="181"/>
      <c r="F16" s="181"/>
      <c r="G16" s="181"/>
      <c r="H16" s="181"/>
      <c r="I16" s="183"/>
      <c r="J16" s="183"/>
      <c r="K16" s="183"/>
    </row>
    <row r="17" spans="1:11">
      <c r="A17" s="180"/>
      <c r="B17" s="188" t="s">
        <v>52</v>
      </c>
      <c r="C17" s="181">
        <v>20000000000</v>
      </c>
      <c r="D17" s="181">
        <f>C17</f>
        <v>20000000000</v>
      </c>
      <c r="E17" s="181">
        <v>1288553631</v>
      </c>
      <c r="F17" s="181">
        <v>5971688594</v>
      </c>
      <c r="G17" s="181">
        <f>F17</f>
        <v>5971688594</v>
      </c>
      <c r="H17" s="186">
        <v>5381748037</v>
      </c>
      <c r="I17" s="183">
        <f>(F17/C17)*100%</f>
        <v>0.29858442969999999</v>
      </c>
      <c r="J17" s="183">
        <f>(G17/D17)*100%</f>
        <v>0.29858442969999999</v>
      </c>
      <c r="K17" s="183">
        <f t="shared" si="6"/>
        <v>1.1096187619606317</v>
      </c>
    </row>
    <row r="18" spans="1:11" ht="20.25" customHeight="1">
      <c r="A18" s="179">
        <v>2</v>
      </c>
      <c r="B18" s="184" t="s">
        <v>125</v>
      </c>
      <c r="C18" s="178">
        <v>333000000000</v>
      </c>
      <c r="D18" s="178">
        <f>C18</f>
        <v>333000000000</v>
      </c>
      <c r="E18" s="178">
        <v>26446235280</v>
      </c>
      <c r="F18" s="178">
        <v>75599837514</v>
      </c>
      <c r="G18" s="178">
        <f>F18</f>
        <v>75599837514</v>
      </c>
      <c r="H18" s="189">
        <v>68043804943</v>
      </c>
      <c r="I18" s="183">
        <f>(F18/C18)*100%</f>
        <v>0.22702653908108109</v>
      </c>
      <c r="J18" s="183">
        <f>(G18/D18)*100%</f>
        <v>0.22702653908108109</v>
      </c>
      <c r="K18" s="183">
        <f t="shared" si="6"/>
        <v>1.1110465909031639</v>
      </c>
    </row>
    <row r="19" spans="1:11" ht="21" customHeight="1">
      <c r="A19" s="179">
        <v>3</v>
      </c>
      <c r="B19" s="184" t="s">
        <v>53</v>
      </c>
      <c r="C19" s="178">
        <v>0</v>
      </c>
      <c r="D19" s="181"/>
      <c r="E19" s="181"/>
      <c r="F19" s="181"/>
      <c r="G19" s="181"/>
      <c r="H19" s="181"/>
      <c r="I19" s="183"/>
      <c r="J19" s="183"/>
      <c r="K19" s="183"/>
    </row>
    <row r="20" spans="1:11" ht="44.25" customHeight="1">
      <c r="A20" s="179">
        <v>4</v>
      </c>
      <c r="B20" s="184" t="s">
        <v>126</v>
      </c>
      <c r="C20" s="178">
        <v>112900000000</v>
      </c>
      <c r="D20" s="181">
        <f>C20</f>
        <v>112900000000</v>
      </c>
      <c r="E20" s="181">
        <v>33653354991</v>
      </c>
      <c r="F20" s="181">
        <v>56364019901</v>
      </c>
      <c r="G20" s="181">
        <f>F20</f>
        <v>56364019901</v>
      </c>
      <c r="H20" s="186">
        <v>51851476413</v>
      </c>
      <c r="I20" s="183">
        <f>(F20/C20)*100%</f>
        <v>0.49923844022143488</v>
      </c>
      <c r="J20" s="183">
        <f>(G20/D20)*100%</f>
        <v>0.49923844022143488</v>
      </c>
      <c r="K20" s="183">
        <f t="shared" si="6"/>
        <v>1.0870282545487679</v>
      </c>
    </row>
    <row r="21" spans="1:11" ht="20.25" customHeight="1">
      <c r="A21" s="179">
        <v>5</v>
      </c>
      <c r="B21" s="184" t="s">
        <v>54</v>
      </c>
      <c r="C21" s="178">
        <v>0</v>
      </c>
      <c r="D21" s="181"/>
      <c r="E21" s="181"/>
      <c r="F21" s="181"/>
      <c r="G21" s="181"/>
      <c r="H21" s="181"/>
      <c r="I21" s="183"/>
      <c r="J21" s="183"/>
      <c r="K21" s="183"/>
    </row>
    <row r="22" spans="1:11" ht="21" customHeight="1">
      <c r="A22" s="179">
        <v>6</v>
      </c>
      <c r="B22" s="184" t="s">
        <v>127</v>
      </c>
      <c r="C22" s="178">
        <v>400000000000</v>
      </c>
      <c r="D22" s="178">
        <f>C22*50%</f>
        <v>200000000000</v>
      </c>
      <c r="E22" s="178">
        <v>40431589076</v>
      </c>
      <c r="F22" s="178">
        <v>160796197512</v>
      </c>
      <c r="G22" s="178">
        <v>80394279305</v>
      </c>
      <c r="H22" s="178">
        <v>110570315989</v>
      </c>
      <c r="I22" s="183">
        <f t="shared" ref="I22:J28" si="8">(F22/C22)*100%</f>
        <v>0.40199049378000001</v>
      </c>
      <c r="J22" s="183">
        <f t="shared" si="8"/>
        <v>0.40197139652500002</v>
      </c>
      <c r="K22" s="183">
        <f t="shared" si="6"/>
        <v>1.4542438092335441</v>
      </c>
    </row>
    <row r="23" spans="1:11" ht="21" customHeight="1">
      <c r="A23" s="179">
        <v>7</v>
      </c>
      <c r="B23" s="184" t="s">
        <v>128</v>
      </c>
      <c r="C23" s="178">
        <v>13000000000</v>
      </c>
      <c r="D23" s="178">
        <f>C23*50%</f>
        <v>6500000000</v>
      </c>
      <c r="E23" s="178">
        <v>1179873392</v>
      </c>
      <c r="F23" s="178">
        <v>4014658681</v>
      </c>
      <c r="G23" s="178">
        <v>1214607812</v>
      </c>
      <c r="H23" s="178">
        <v>3865237984</v>
      </c>
      <c r="I23" s="183">
        <f t="shared" si="8"/>
        <v>0.30881989853846153</v>
      </c>
      <c r="J23" s="183">
        <f t="shared" si="8"/>
        <v>0.18686274030769232</v>
      </c>
      <c r="K23" s="183">
        <f t="shared" si="6"/>
        <v>1.0386575671714189</v>
      </c>
    </row>
    <row r="24" spans="1:11" ht="19.5" customHeight="1">
      <c r="A24" s="179">
        <v>8</v>
      </c>
      <c r="B24" s="184" t="s">
        <v>55</v>
      </c>
      <c r="C24" s="178">
        <v>80000000000</v>
      </c>
      <c r="D24" s="178">
        <f>D25</f>
        <v>65000000000</v>
      </c>
      <c r="E24" s="178">
        <v>3821765315</v>
      </c>
      <c r="F24" s="178">
        <v>50244931265</v>
      </c>
      <c r="G24" s="178">
        <f>G25</f>
        <v>45508579021</v>
      </c>
      <c r="H24" s="190">
        <v>46361697918</v>
      </c>
      <c r="I24" s="183">
        <f t="shared" si="8"/>
        <v>0.62806164081250004</v>
      </c>
      <c r="J24" s="183">
        <f t="shared" si="8"/>
        <v>0.70013198493846152</v>
      </c>
      <c r="K24" s="183">
        <f t="shared" si="6"/>
        <v>1.0837595153194837</v>
      </c>
    </row>
    <row r="25" spans="1:11">
      <c r="A25" s="180"/>
      <c r="B25" s="187" t="s">
        <v>56</v>
      </c>
      <c r="C25" s="181">
        <v>65000000000</v>
      </c>
      <c r="D25" s="181">
        <f>C25</f>
        <v>65000000000</v>
      </c>
      <c r="E25" s="181">
        <v>3354086090</v>
      </c>
      <c r="F25" s="181">
        <v>45508579021</v>
      </c>
      <c r="G25" s="181">
        <f>F25</f>
        <v>45508579021</v>
      </c>
      <c r="H25" s="181">
        <v>43046451503</v>
      </c>
      <c r="I25" s="183">
        <f t="shared" si="8"/>
        <v>0.70013198493846152</v>
      </c>
      <c r="J25" s="183">
        <f t="shared" si="8"/>
        <v>0.70013198493846152</v>
      </c>
      <c r="K25" s="183">
        <f t="shared" si="6"/>
        <v>1.05719699143676</v>
      </c>
    </row>
    <row r="26" spans="1:11" ht="25.5" customHeight="1">
      <c r="A26" s="179">
        <v>9</v>
      </c>
      <c r="B26" s="184" t="s">
        <v>129</v>
      </c>
      <c r="C26" s="178">
        <v>430000000000</v>
      </c>
      <c r="D26" s="178">
        <f>C26*60%</f>
        <v>258000000000</v>
      </c>
      <c r="E26" s="178">
        <v>66399087661</v>
      </c>
      <c r="F26" s="178">
        <v>132738834163</v>
      </c>
      <c r="G26" s="178">
        <v>79643300500</v>
      </c>
      <c r="H26" s="178">
        <v>93689711028</v>
      </c>
      <c r="I26" s="183">
        <f t="shared" si="8"/>
        <v>0.30869496316976747</v>
      </c>
      <c r="J26" s="183">
        <f t="shared" si="8"/>
        <v>0.30869496317829459</v>
      </c>
      <c r="K26" s="183">
        <f t="shared" si="6"/>
        <v>1.4167920117005146</v>
      </c>
    </row>
    <row r="27" spans="1:11" ht="31.5" hidden="1">
      <c r="A27" s="180"/>
      <c r="B27" s="187" t="s">
        <v>130</v>
      </c>
      <c r="C27" s="181">
        <v>590000000000</v>
      </c>
      <c r="D27" s="181">
        <f>C27*60%</f>
        <v>354000000000</v>
      </c>
      <c r="E27" s="181"/>
      <c r="F27" s="181"/>
      <c r="G27" s="181"/>
      <c r="H27" s="181"/>
      <c r="I27" s="183">
        <f t="shared" si="8"/>
        <v>0</v>
      </c>
      <c r="J27" s="183">
        <f t="shared" si="8"/>
        <v>0</v>
      </c>
      <c r="K27" s="183" t="e">
        <f t="shared" si="6"/>
        <v>#DIV/0!</v>
      </c>
    </row>
    <row r="28" spans="1:11" ht="19.5" customHeight="1">
      <c r="A28" s="179">
        <v>10</v>
      </c>
      <c r="B28" s="184" t="s">
        <v>57</v>
      </c>
      <c r="C28" s="178">
        <v>12000000000</v>
      </c>
      <c r="D28" s="178">
        <f>C28</f>
        <v>12000000000</v>
      </c>
      <c r="E28" s="178">
        <v>437788507</v>
      </c>
      <c r="F28" s="178">
        <v>5167535178</v>
      </c>
      <c r="G28" s="178">
        <f>F28</f>
        <v>5167535178</v>
      </c>
      <c r="H28" s="178">
        <v>939885926</v>
      </c>
      <c r="I28" s="183">
        <f t="shared" si="8"/>
        <v>0.43062793150000001</v>
      </c>
      <c r="J28" s="183">
        <f t="shared" si="8"/>
        <v>0.43062793150000001</v>
      </c>
      <c r="K28" s="183">
        <f t="shared" si="6"/>
        <v>5.4980450659498441</v>
      </c>
    </row>
    <row r="29" spans="1:11" ht="22.5" customHeight="1">
      <c r="A29" s="179">
        <v>11</v>
      </c>
      <c r="B29" s="184" t="s">
        <v>58</v>
      </c>
      <c r="C29" s="181">
        <v>0</v>
      </c>
      <c r="D29" s="181"/>
      <c r="E29" s="181"/>
      <c r="F29" s="181"/>
      <c r="G29" s="181"/>
      <c r="H29" s="181"/>
      <c r="I29" s="183"/>
      <c r="J29" s="183"/>
      <c r="K29" s="183"/>
    </row>
    <row r="30" spans="1:11">
      <c r="A30" s="180"/>
      <c r="B30" s="187" t="s">
        <v>59</v>
      </c>
      <c r="C30" s="181">
        <v>0</v>
      </c>
      <c r="D30" s="181"/>
      <c r="E30" s="181"/>
      <c r="F30" s="181"/>
      <c r="G30" s="181"/>
      <c r="H30" s="181"/>
      <c r="I30" s="183"/>
      <c r="J30" s="183"/>
      <c r="K30" s="183"/>
    </row>
    <row r="31" spans="1:11" ht="31.5">
      <c r="A31" s="179">
        <v>12</v>
      </c>
      <c r="B31" s="184" t="s">
        <v>60</v>
      </c>
      <c r="C31" s="181">
        <v>0</v>
      </c>
      <c r="D31" s="181"/>
      <c r="E31" s="181"/>
      <c r="F31" s="181"/>
      <c r="G31" s="181"/>
      <c r="H31" s="181"/>
      <c r="I31" s="183"/>
      <c r="J31" s="183"/>
      <c r="K31" s="183"/>
    </row>
    <row r="32" spans="1:11">
      <c r="A32" s="179">
        <v>13</v>
      </c>
      <c r="B32" s="184" t="s">
        <v>21</v>
      </c>
      <c r="C32" s="178">
        <v>110000000000</v>
      </c>
      <c r="D32" s="178">
        <f>D33</f>
        <v>98000000000</v>
      </c>
      <c r="E32" s="178">
        <v>14468272021</v>
      </c>
      <c r="F32" s="178">
        <v>35818989598</v>
      </c>
      <c r="G32" s="178">
        <f>G33</f>
        <v>24041308277</v>
      </c>
      <c r="H32" s="178">
        <v>40153359319</v>
      </c>
      <c r="I32" s="183">
        <f>(F32/C32)*100%</f>
        <v>0.32562717816363634</v>
      </c>
      <c r="J32" s="183">
        <f>(G32/D32)*100%</f>
        <v>0.24531947221428571</v>
      </c>
      <c r="K32" s="183">
        <f t="shared" si="6"/>
        <v>0.89205461773284211</v>
      </c>
    </row>
    <row r="33" spans="1:11">
      <c r="A33" s="180"/>
      <c r="B33" s="187" t="s">
        <v>61</v>
      </c>
      <c r="C33" s="181">
        <v>98000000000</v>
      </c>
      <c r="D33" s="181">
        <f>C33</f>
        <v>98000000000</v>
      </c>
      <c r="E33" s="181">
        <v>10426889074</v>
      </c>
      <c r="F33" s="181">
        <v>24041308277</v>
      </c>
      <c r="G33" s="181">
        <f>F33</f>
        <v>24041308277</v>
      </c>
      <c r="H33" s="181">
        <v>29472709540</v>
      </c>
      <c r="I33" s="183">
        <f>(F33/C33)*100%</f>
        <v>0.24531947221428571</v>
      </c>
      <c r="J33" s="183">
        <f>(G33/D33)*100%</f>
        <v>0.24531947221428571</v>
      </c>
      <c r="K33" s="183"/>
    </row>
    <row r="34" spans="1:11" ht="31.5">
      <c r="A34" s="179">
        <v>14</v>
      </c>
      <c r="B34" s="184" t="s">
        <v>62</v>
      </c>
      <c r="C34" s="178"/>
      <c r="D34" s="181"/>
      <c r="E34" s="181"/>
      <c r="F34" s="181"/>
      <c r="G34" s="181"/>
      <c r="H34" s="181"/>
      <c r="I34" s="183"/>
      <c r="J34" s="183"/>
      <c r="K34" s="183"/>
    </row>
    <row r="35" spans="1:11">
      <c r="A35" s="179">
        <v>16</v>
      </c>
      <c r="B35" s="184" t="s">
        <v>63</v>
      </c>
      <c r="C35" s="178">
        <v>0</v>
      </c>
      <c r="D35" s="181"/>
      <c r="E35" s="181"/>
      <c r="F35" s="181"/>
      <c r="G35" s="181"/>
      <c r="H35" s="181"/>
      <c r="I35" s="183"/>
      <c r="J35" s="183"/>
      <c r="K35" s="183"/>
    </row>
    <row r="36" spans="1:11" ht="31.5">
      <c r="A36" s="179">
        <v>17</v>
      </c>
      <c r="B36" s="184" t="s">
        <v>64</v>
      </c>
      <c r="C36" s="181">
        <v>0</v>
      </c>
      <c r="D36" s="181"/>
      <c r="E36" s="181"/>
      <c r="F36" s="181"/>
      <c r="G36" s="181"/>
      <c r="H36" s="181"/>
      <c r="I36" s="183"/>
      <c r="J36" s="183"/>
      <c r="K36" s="183"/>
    </row>
    <row r="37" spans="1:11">
      <c r="A37" s="179" t="s">
        <v>8</v>
      </c>
      <c r="B37" s="184" t="s">
        <v>65</v>
      </c>
      <c r="C37" s="181"/>
      <c r="D37" s="181"/>
      <c r="E37" s="181"/>
      <c r="F37" s="181"/>
      <c r="G37" s="181"/>
      <c r="H37" s="181"/>
      <c r="I37" s="183"/>
      <c r="J37" s="183"/>
      <c r="K37" s="183"/>
    </row>
    <row r="38" spans="1:11">
      <c r="A38" s="179" t="s">
        <v>9</v>
      </c>
      <c r="B38" s="184" t="s">
        <v>66</v>
      </c>
      <c r="C38" s="178">
        <f>C39+C40+C43+C44</f>
        <v>1030282000000</v>
      </c>
      <c r="D38" s="178">
        <f t="shared" ref="D38:G38" si="9">D39+D40+D43+D44</f>
        <v>1030282000000</v>
      </c>
      <c r="E38" s="178">
        <f t="shared" si="9"/>
        <v>77880083333</v>
      </c>
      <c r="F38" s="178">
        <f t="shared" si="9"/>
        <v>320346249999</v>
      </c>
      <c r="G38" s="178">
        <f t="shared" si="9"/>
        <v>320346249999</v>
      </c>
      <c r="H38" s="178">
        <v>445078000000</v>
      </c>
      <c r="I38" s="183">
        <f>(F38/C38)*100%</f>
        <v>0.31093064811284676</v>
      </c>
      <c r="J38" s="183">
        <f>(G38/D38)*100%</f>
        <v>0.31093064811284676</v>
      </c>
      <c r="K38" s="183"/>
    </row>
    <row r="39" spans="1:11">
      <c r="A39" s="180"/>
      <c r="B39" s="185" t="s">
        <v>67</v>
      </c>
      <c r="C39" s="181">
        <v>934561000000</v>
      </c>
      <c r="D39" s="181">
        <f>C39</f>
        <v>934561000000</v>
      </c>
      <c r="E39" s="181">
        <v>77880083333</v>
      </c>
      <c r="F39" s="181">
        <v>233640249999</v>
      </c>
      <c r="G39" s="181">
        <f>F39</f>
        <v>233640249999</v>
      </c>
      <c r="H39" s="181">
        <v>353468000000</v>
      </c>
      <c r="I39" s="183">
        <f>(F39/C39)*100%</f>
        <v>0.24999999999892997</v>
      </c>
      <c r="J39" s="183">
        <f>(G39/D39)*100%</f>
        <v>0.24999999999892997</v>
      </c>
      <c r="K39" s="183"/>
    </row>
    <row r="40" spans="1:11">
      <c r="A40" s="180"/>
      <c r="B40" s="185" t="s">
        <v>131</v>
      </c>
      <c r="C40" s="181">
        <f>C41+C42</f>
        <v>9015000000</v>
      </c>
      <c r="D40" s="181">
        <f t="shared" ref="D40:G40" si="10">D41+D42</f>
        <v>9015000000</v>
      </c>
      <c r="E40" s="181">
        <f t="shared" si="10"/>
        <v>0</v>
      </c>
      <c r="F40" s="181">
        <f>F41+F42</f>
        <v>0</v>
      </c>
      <c r="G40" s="181">
        <f t="shared" si="10"/>
        <v>0</v>
      </c>
      <c r="H40" s="181">
        <v>0</v>
      </c>
      <c r="I40" s="183"/>
      <c r="J40" s="183"/>
      <c r="K40" s="183"/>
    </row>
    <row r="41" spans="1:11">
      <c r="A41" s="180"/>
      <c r="B41" s="185" t="s">
        <v>68</v>
      </c>
      <c r="C41" s="181">
        <v>9015000000</v>
      </c>
      <c r="D41" s="181">
        <f>C41</f>
        <v>9015000000</v>
      </c>
      <c r="E41" s="181"/>
      <c r="F41" s="181"/>
      <c r="G41" s="181">
        <f>F41</f>
        <v>0</v>
      </c>
      <c r="H41" s="181"/>
      <c r="I41" s="183"/>
      <c r="J41" s="183"/>
      <c r="K41" s="183"/>
    </row>
    <row r="42" spans="1:11">
      <c r="A42" s="180"/>
      <c r="B42" s="185" t="s">
        <v>69</v>
      </c>
      <c r="C42" s="181"/>
      <c r="D42" s="181"/>
      <c r="E42" s="181"/>
      <c r="F42" s="181"/>
      <c r="G42" s="181"/>
      <c r="H42" s="181"/>
      <c r="I42" s="183"/>
      <c r="J42" s="183"/>
      <c r="K42" s="183"/>
    </row>
    <row r="43" spans="1:11">
      <c r="A43" s="179"/>
      <c r="B43" s="185" t="s">
        <v>132</v>
      </c>
      <c r="C43" s="181">
        <v>83931000000</v>
      </c>
      <c r="D43" s="181">
        <f>C43</f>
        <v>83931000000</v>
      </c>
      <c r="E43" s="181"/>
      <c r="F43" s="181">
        <v>83931000000</v>
      </c>
      <c r="G43" s="181">
        <f>F43</f>
        <v>83931000000</v>
      </c>
      <c r="H43" s="181">
        <v>91610000000</v>
      </c>
      <c r="I43" s="183">
        <f>(F43/C43)*100%</f>
        <v>1</v>
      </c>
      <c r="J43" s="183">
        <f>(G43/D43)*100%</f>
        <v>1</v>
      </c>
      <c r="K43" s="183"/>
    </row>
    <row r="44" spans="1:11">
      <c r="A44" s="179"/>
      <c r="B44" s="191" t="s">
        <v>152</v>
      </c>
      <c r="C44" s="181">
        <v>2775000000</v>
      </c>
      <c r="D44" s="181">
        <f>C44</f>
        <v>2775000000</v>
      </c>
      <c r="E44" s="181"/>
      <c r="F44" s="181">
        <v>2775000000</v>
      </c>
      <c r="G44" s="181">
        <f>F44</f>
        <v>2775000000</v>
      </c>
      <c r="H44" s="181">
        <v>1140861909713</v>
      </c>
      <c r="I44" s="183">
        <f>(F44/C44)*100%</f>
        <v>1</v>
      </c>
      <c r="J44" s="183">
        <f>(G44/D44)*100%</f>
        <v>1</v>
      </c>
      <c r="K44" s="183"/>
    </row>
    <row r="45" spans="1:11" s="104" customFormat="1">
      <c r="A45" s="132" t="s">
        <v>11</v>
      </c>
      <c r="B45" s="19" t="s">
        <v>133</v>
      </c>
      <c r="C45" s="133"/>
      <c r="D45" s="133"/>
      <c r="E45" s="133"/>
      <c r="F45" s="133"/>
      <c r="G45" s="133"/>
      <c r="H45" s="133">
        <v>23667481</v>
      </c>
      <c r="I45" s="16"/>
      <c r="J45" s="16"/>
      <c r="K45" s="16"/>
    </row>
    <row r="46" spans="1:11" s="104" customFormat="1">
      <c r="A46" s="132" t="s">
        <v>43</v>
      </c>
      <c r="B46" s="19" t="s">
        <v>134</v>
      </c>
      <c r="C46" s="133"/>
      <c r="D46" s="133"/>
      <c r="E46" s="133"/>
      <c r="F46" s="133"/>
      <c r="G46" s="133"/>
      <c r="H46" s="133"/>
      <c r="I46" s="16"/>
      <c r="J46" s="16"/>
      <c r="K46" s="16"/>
    </row>
    <row r="47" spans="1:11" s="104" customFormat="1">
      <c r="A47" s="132" t="s">
        <v>135</v>
      </c>
      <c r="B47" s="19" t="s">
        <v>136</v>
      </c>
      <c r="C47" s="133"/>
      <c r="D47" s="133"/>
      <c r="E47" s="133"/>
      <c r="F47" s="133"/>
      <c r="G47" s="133"/>
      <c r="H47" s="133"/>
      <c r="I47" s="16"/>
      <c r="J47" s="16"/>
      <c r="K47" s="16"/>
    </row>
    <row r="48" spans="1:11" ht="27" customHeight="1">
      <c r="A48" s="179" t="s">
        <v>137</v>
      </c>
      <c r="B48" s="184" t="s">
        <v>70</v>
      </c>
      <c r="C48" s="178">
        <f>C49+C50+C51</f>
        <v>531942000000</v>
      </c>
      <c r="D48" s="178">
        <f>D49+D50+D51</f>
        <v>531942000000</v>
      </c>
      <c r="E48" s="178">
        <f>E49+E50+E51</f>
        <v>0</v>
      </c>
      <c r="F48" s="178">
        <f t="shared" ref="F48:G48" si="11">F53</f>
        <v>0</v>
      </c>
      <c r="G48" s="178">
        <f t="shared" si="11"/>
        <v>0</v>
      </c>
      <c r="H48" s="178"/>
      <c r="I48" s="16"/>
      <c r="J48" s="16"/>
      <c r="K48" s="16"/>
    </row>
    <row r="49" spans="1:11" ht="37.5" customHeight="1">
      <c r="A49" s="179"/>
      <c r="B49" s="17" t="s">
        <v>153</v>
      </c>
      <c r="C49" s="15">
        <v>17665000000</v>
      </c>
      <c r="D49" s="15">
        <f>C49</f>
        <v>17665000000</v>
      </c>
      <c r="E49" s="15"/>
      <c r="F49" s="178"/>
      <c r="G49" s="178"/>
      <c r="H49" s="178"/>
      <c r="I49" s="16"/>
      <c r="J49" s="16"/>
      <c r="K49" s="16"/>
    </row>
    <row r="50" spans="1:11" ht="40.5" customHeight="1">
      <c r="A50" s="179"/>
      <c r="B50" s="17" t="s">
        <v>153</v>
      </c>
      <c r="C50" s="15">
        <v>11776000000</v>
      </c>
      <c r="D50" s="15">
        <f t="shared" ref="D50:D53" si="12">C50</f>
        <v>11776000000</v>
      </c>
      <c r="E50" s="15"/>
      <c r="F50" s="178"/>
      <c r="G50" s="178"/>
      <c r="H50" s="178"/>
      <c r="I50" s="16"/>
      <c r="J50" s="16"/>
      <c r="K50" s="16"/>
    </row>
    <row r="51" spans="1:11" ht="27" customHeight="1">
      <c r="A51" s="179"/>
      <c r="B51" s="192" t="s">
        <v>154</v>
      </c>
      <c r="C51" s="178">
        <f>C52+C53</f>
        <v>502501000000</v>
      </c>
      <c r="D51" s="178">
        <f>D52+D53</f>
        <v>502501000000</v>
      </c>
      <c r="E51" s="178">
        <f>E52+E53</f>
        <v>0</v>
      </c>
      <c r="F51" s="178">
        <f t="shared" ref="F51:G51" si="13">F52+F53</f>
        <v>0</v>
      </c>
      <c r="G51" s="178">
        <f t="shared" si="13"/>
        <v>0</v>
      </c>
      <c r="H51" s="178"/>
      <c r="I51" s="16"/>
      <c r="J51" s="16"/>
      <c r="K51" s="16"/>
    </row>
    <row r="52" spans="1:11" ht="42" customHeight="1">
      <c r="A52" s="179"/>
      <c r="B52" s="17" t="s">
        <v>155</v>
      </c>
      <c r="C52" s="15">
        <v>444769000000</v>
      </c>
      <c r="D52" s="15">
        <f t="shared" si="12"/>
        <v>444769000000</v>
      </c>
      <c r="E52" s="15"/>
      <c r="F52" s="178"/>
      <c r="G52" s="178"/>
      <c r="H52" s="178"/>
      <c r="I52" s="16"/>
      <c r="J52" s="16"/>
      <c r="K52" s="16"/>
    </row>
    <row r="53" spans="1:11" ht="24.75" customHeight="1">
      <c r="A53" s="180"/>
      <c r="B53" s="193" t="s">
        <v>156</v>
      </c>
      <c r="C53" s="15">
        <v>57732000000</v>
      </c>
      <c r="D53" s="15">
        <f t="shared" si="12"/>
        <v>57732000000</v>
      </c>
      <c r="E53" s="15"/>
      <c r="F53" s="181"/>
      <c r="G53" s="181"/>
      <c r="H53" s="181"/>
      <c r="I53" s="18"/>
      <c r="J53" s="18"/>
      <c r="K53" s="18"/>
    </row>
    <row r="54" spans="1:11" ht="29.25" customHeight="1">
      <c r="A54" s="194" t="s">
        <v>138</v>
      </c>
    </row>
    <row r="55" spans="1:11">
      <c r="A55" s="194"/>
    </row>
    <row r="56" spans="1:11">
      <c r="A56" s="194"/>
    </row>
    <row r="57" spans="1:11">
      <c r="A57" s="194"/>
    </row>
    <row r="58" spans="1:11">
      <c r="A58" s="194"/>
    </row>
    <row r="59" spans="1:11">
      <c r="A59" s="194"/>
    </row>
    <row r="60" spans="1:11">
      <c r="A60" s="194"/>
    </row>
    <row r="61" spans="1:11">
      <c r="A61" s="194"/>
    </row>
    <row r="62" spans="1:11">
      <c r="A62" s="194"/>
    </row>
    <row r="63" spans="1:11">
      <c r="A63" s="194"/>
    </row>
    <row r="64" spans="1:11">
      <c r="A64" s="194"/>
    </row>
    <row r="65" spans="1:11">
      <c r="A65" s="194"/>
    </row>
    <row r="66" spans="1:11">
      <c r="A66" s="194"/>
    </row>
    <row r="67" spans="1:11">
      <c r="A67" s="194"/>
    </row>
    <row r="68" spans="1:11">
      <c r="A68" s="194"/>
    </row>
    <row r="69" spans="1:11">
      <c r="A69" s="194"/>
    </row>
    <row r="70" spans="1:11">
      <c r="A70" s="194"/>
    </row>
    <row r="71" spans="1:11">
      <c r="A71" s="194"/>
    </row>
    <row r="72" spans="1:11">
      <c r="A72" s="194"/>
    </row>
    <row r="73" spans="1:11">
      <c r="A73" s="194"/>
    </row>
    <row r="74" spans="1:11">
      <c r="A74" s="194"/>
    </row>
    <row r="75" spans="1:11">
      <c r="A75" s="194"/>
    </row>
    <row r="76" spans="1:11">
      <c r="A76" s="194"/>
    </row>
    <row r="77" spans="1:11">
      <c r="A77" s="194"/>
    </row>
    <row r="78" spans="1:11">
      <c r="A78" s="194"/>
    </row>
    <row r="79" spans="1:11">
      <c r="A79" s="194"/>
    </row>
    <row r="80" spans="1:11">
      <c r="A80" s="194"/>
      <c r="C80" s="195"/>
      <c r="D80" s="196"/>
      <c r="E80" s="196"/>
      <c r="F80" s="196"/>
      <c r="G80" s="196"/>
      <c r="H80" s="196"/>
      <c r="I80" s="197"/>
      <c r="J80" s="197"/>
      <c r="K80" s="197"/>
    </row>
    <row r="81" spans="1:11">
      <c r="C81" s="196"/>
      <c r="D81" s="196"/>
      <c r="E81" s="196"/>
      <c r="F81" s="196"/>
      <c r="G81" s="196"/>
      <c r="H81" s="196"/>
      <c r="I81" s="198"/>
      <c r="J81" s="198"/>
      <c r="K81" s="198"/>
    </row>
    <row r="82" spans="1:11">
      <c r="A82" s="199"/>
    </row>
    <row r="83" spans="1:11">
      <c r="A83" s="199"/>
    </row>
    <row r="84" spans="1:11">
      <c r="A84" s="199"/>
    </row>
    <row r="85" spans="1:11">
      <c r="A85" s="199"/>
    </row>
    <row r="92" spans="1:11">
      <c r="C92" s="167">
        <v>5000</v>
      </c>
    </row>
    <row r="93" spans="1:11">
      <c r="C93" s="167">
        <v>51000</v>
      </c>
    </row>
  </sheetData>
  <mergeCells count="12">
    <mergeCell ref="A82:A85"/>
    <mergeCell ref="A4:J4"/>
    <mergeCell ref="A6:A7"/>
    <mergeCell ref="B6:B7"/>
    <mergeCell ref="C6:D6"/>
    <mergeCell ref="E6:G6"/>
    <mergeCell ref="I6:K6"/>
    <mergeCell ref="A1:B1"/>
    <mergeCell ref="C1:I1"/>
    <mergeCell ref="A2:B2"/>
    <mergeCell ref="C2:I2"/>
    <mergeCell ref="A3:B3"/>
  </mergeCells>
  <pageMargins left="0.7" right="0.7" top="0.75" bottom="0.75" header="0.3" footer="0.3"/>
  <pageSetup paperSize="9" scale="6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J71"/>
  <sheetViews>
    <sheetView tabSelected="1" topLeftCell="A7" workbookViewId="0">
      <selection activeCell="L23" sqref="L23"/>
    </sheetView>
  </sheetViews>
  <sheetFormatPr defaultRowHeight="15.75"/>
  <cols>
    <col min="1" max="1" width="9.125" customWidth="1"/>
    <col min="2" max="2" width="39.375" customWidth="1"/>
    <col min="3" max="3" width="18.75" style="4" customWidth="1"/>
    <col min="4" max="4" width="18.625" customWidth="1"/>
    <col min="5" max="5" width="17.375" customWidth="1"/>
    <col min="6" max="6" width="17.75" customWidth="1"/>
    <col min="7" max="7" width="7.5" customWidth="1"/>
    <col min="8" max="8" width="8.375" customWidth="1"/>
    <col min="10" max="10" width="13.625" bestFit="1" customWidth="1"/>
  </cols>
  <sheetData>
    <row r="1" spans="1:10" ht="21.75" customHeight="1">
      <c r="A1" s="155" t="s">
        <v>27</v>
      </c>
      <c r="B1" s="155"/>
      <c r="C1" s="20"/>
    </row>
    <row r="2" spans="1:10" ht="17.25" customHeight="1">
      <c r="A2" s="156" t="s">
        <v>28</v>
      </c>
      <c r="B2" s="156"/>
      <c r="C2" s="21"/>
    </row>
    <row r="4" spans="1:10" ht="30" customHeight="1">
      <c r="A4" s="154" t="s">
        <v>175</v>
      </c>
      <c r="B4" s="154"/>
      <c r="C4" s="154"/>
      <c r="D4" s="154"/>
      <c r="E4" s="154"/>
      <c r="F4" s="154"/>
      <c r="G4" s="154"/>
      <c r="H4" s="154"/>
      <c r="I4" s="154"/>
      <c r="J4" s="154"/>
    </row>
    <row r="5" spans="1:10" ht="21" customHeight="1">
      <c r="A5" s="154"/>
      <c r="B5" s="154"/>
      <c r="C5" s="154"/>
      <c r="D5" s="154"/>
      <c r="E5" s="154"/>
      <c r="F5" s="154"/>
      <c r="G5" s="154"/>
      <c r="H5" s="154"/>
    </row>
    <row r="6" spans="1:10">
      <c r="D6" s="22"/>
      <c r="E6" s="22"/>
      <c r="F6" s="201" t="s">
        <v>160</v>
      </c>
      <c r="G6" s="201"/>
      <c r="H6" s="201"/>
    </row>
    <row r="7" spans="1:10" s="23" customFormat="1" ht="15.75" customHeight="1">
      <c r="A7" s="157" t="s">
        <v>0</v>
      </c>
      <c r="B7" s="202" t="s">
        <v>71</v>
      </c>
      <c r="C7" s="203" t="s">
        <v>139</v>
      </c>
      <c r="D7" s="161" t="s">
        <v>140</v>
      </c>
      <c r="E7" s="161" t="s">
        <v>161</v>
      </c>
      <c r="F7" s="161" t="s">
        <v>174</v>
      </c>
      <c r="G7" s="161" t="s">
        <v>72</v>
      </c>
      <c r="H7" s="161" t="s">
        <v>162</v>
      </c>
      <c r="I7" s="159" t="s">
        <v>142</v>
      </c>
    </row>
    <row r="8" spans="1:10" s="23" customFormat="1" ht="52.5" customHeight="1">
      <c r="A8" s="158"/>
      <c r="B8" s="204"/>
      <c r="C8" s="205"/>
      <c r="D8" s="162"/>
      <c r="E8" s="162"/>
      <c r="F8" s="162"/>
      <c r="G8" s="162"/>
      <c r="H8" s="162"/>
      <c r="I8" s="160"/>
    </row>
    <row r="9" spans="1:10" s="23" customFormat="1" ht="28.5">
      <c r="A9" s="24"/>
      <c r="B9" s="206" t="s">
        <v>73</v>
      </c>
      <c r="C9" s="136">
        <f>C10+C54+C58</f>
        <v>3632624000000</v>
      </c>
      <c r="D9" s="136">
        <f>D10+D54+D58</f>
        <v>3632624000000</v>
      </c>
      <c r="E9" s="136">
        <f>E10+E54+E58</f>
        <v>166775403308</v>
      </c>
      <c r="F9" s="136">
        <f>F10+F54+F58</f>
        <v>876799776159</v>
      </c>
      <c r="G9" s="207">
        <f>F9/C9*100%</f>
        <v>0.24136816146097145</v>
      </c>
      <c r="H9" s="208">
        <f>F9/D9*100%</f>
        <v>0.24136816146097145</v>
      </c>
      <c r="I9" s="208">
        <f>F9/489450315381</f>
        <v>1.7913968968974467</v>
      </c>
    </row>
    <row r="10" spans="1:10" s="29" customFormat="1" ht="28.5" customHeight="1">
      <c r="A10" s="27" t="s">
        <v>1</v>
      </c>
      <c r="B10" s="209" t="s">
        <v>74</v>
      </c>
      <c r="C10" s="28">
        <f>C11+C22+C47+C48+C49+C52</f>
        <v>3632624000000</v>
      </c>
      <c r="D10" s="28">
        <f>D11+D22+D47+D48+D49+D52</f>
        <v>3632624000000</v>
      </c>
      <c r="E10" s="28">
        <f>E11+E22+E47+E48+E49+E52</f>
        <v>165377588881</v>
      </c>
      <c r="F10" s="28">
        <f>F11+F22+F47+F48+F49+F52</f>
        <v>868011920189</v>
      </c>
      <c r="G10" s="210">
        <f>F10/C10*100%</f>
        <v>0.23894901321716752</v>
      </c>
      <c r="H10" s="210">
        <f>F10/D10*100%</f>
        <v>0.23894901321716752</v>
      </c>
      <c r="I10" s="210">
        <f>F10/475557647900</f>
        <v>1.8252506799586263</v>
      </c>
    </row>
    <row r="11" spans="1:10" s="23" customFormat="1">
      <c r="A11" s="30" t="s">
        <v>5</v>
      </c>
      <c r="B11" s="211" t="s">
        <v>163</v>
      </c>
      <c r="C11" s="137">
        <f>SUM(C14:C16)</f>
        <v>588867000000</v>
      </c>
      <c r="D11" s="31">
        <f>D12+D19</f>
        <v>599867000000</v>
      </c>
      <c r="E11" s="31">
        <f t="shared" ref="E11:F11" si="0">E12+E19</f>
        <v>10776387183</v>
      </c>
      <c r="F11" s="31">
        <f t="shared" si="0"/>
        <v>191283619183</v>
      </c>
      <c r="G11" s="212">
        <f>F11/D11*100%</f>
        <v>0.31887671631044884</v>
      </c>
      <c r="H11" s="213">
        <f t="shared" ref="H11:I21" si="1">F11/D11*100%</f>
        <v>0.31887671631044884</v>
      </c>
      <c r="I11" s="213">
        <v>5.25</v>
      </c>
      <c r="J11" s="26"/>
    </row>
    <row r="12" spans="1:10" s="23" customFormat="1" ht="23.25" customHeight="1">
      <c r="A12" s="134">
        <v>1</v>
      </c>
      <c r="B12" s="211" t="s">
        <v>41</v>
      </c>
      <c r="C12" s="137">
        <f>C14+C15+C16</f>
        <v>588867000000</v>
      </c>
      <c r="D12" s="31">
        <f>D13+D17</f>
        <v>597167000000</v>
      </c>
      <c r="E12" s="31">
        <f t="shared" ref="E12:F12" si="2">E13+E17</f>
        <v>9941000000</v>
      </c>
      <c r="F12" s="31">
        <f t="shared" si="2"/>
        <v>190152000000</v>
      </c>
      <c r="G12" s="214">
        <f t="shared" ref="G12:G16" si="3">F12/C12*100%</f>
        <v>0.32291162520569161</v>
      </c>
      <c r="H12" s="32">
        <f t="shared" si="1"/>
        <v>0.31842348957661759</v>
      </c>
      <c r="I12" s="32">
        <f>F12/22586000000</f>
        <v>8.4190206322500671</v>
      </c>
    </row>
    <row r="13" spans="1:10" s="23" customFormat="1" ht="23.25" customHeight="1">
      <c r="A13" s="134" t="s">
        <v>164</v>
      </c>
      <c r="B13" s="211" t="s">
        <v>165</v>
      </c>
      <c r="C13" s="31">
        <f>C14+C15+C16</f>
        <v>588867000000</v>
      </c>
      <c r="D13" s="31">
        <f>D14+D15+D16</f>
        <v>586167000000</v>
      </c>
      <c r="E13" s="31">
        <f t="shared" ref="E13:F13" si="4">E14+E15+E16</f>
        <v>9941000000</v>
      </c>
      <c r="F13" s="31">
        <f t="shared" si="4"/>
        <v>180152000000</v>
      </c>
      <c r="G13" s="214">
        <f t="shared" si="3"/>
        <v>0.30592986192128274</v>
      </c>
      <c r="H13" s="32">
        <f t="shared" si="1"/>
        <v>0.30733903478019065</v>
      </c>
      <c r="I13" s="32">
        <v>8.41</v>
      </c>
    </row>
    <row r="14" spans="1:10" s="23" customFormat="1">
      <c r="A14" s="215" t="s">
        <v>40</v>
      </c>
      <c r="B14" s="216" t="s">
        <v>166</v>
      </c>
      <c r="C14" s="138">
        <v>246936000000</v>
      </c>
      <c r="D14" s="138">
        <v>246936000000</v>
      </c>
      <c r="E14" s="33">
        <f>95363000000-93911000000</f>
        <v>1452000000</v>
      </c>
      <c r="F14" s="33">
        <f>1452000000+93759374426+151625574</f>
        <v>95363000000</v>
      </c>
      <c r="G14" s="217">
        <f t="shared" si="3"/>
        <v>0.38618508439433702</v>
      </c>
      <c r="H14" s="32">
        <f t="shared" si="1"/>
        <v>0.38618508439433702</v>
      </c>
      <c r="I14" s="32">
        <v>18.97</v>
      </c>
    </row>
    <row r="15" spans="1:10" s="23" customFormat="1" ht="20.25" customHeight="1">
      <c r="A15" s="215" t="s">
        <v>40</v>
      </c>
      <c r="B15" s="216" t="s">
        <v>75</v>
      </c>
      <c r="C15" s="138">
        <v>258000000000</v>
      </c>
      <c r="D15" s="138">
        <f>258000000000-2700000000</f>
        <v>255300000000</v>
      </c>
      <c r="E15" s="33">
        <f>74601000000-71630000000</f>
        <v>2971000000</v>
      </c>
      <c r="F15" s="33">
        <f>6247815978+65382184022+2971000000</f>
        <v>74601000000</v>
      </c>
      <c r="G15" s="217">
        <f t="shared" si="3"/>
        <v>0.28915116279069769</v>
      </c>
      <c r="H15" s="32">
        <f t="shared" si="1"/>
        <v>0.29220916568742655</v>
      </c>
      <c r="I15" s="32">
        <v>8.59</v>
      </c>
    </row>
    <row r="16" spans="1:10" s="23" customFormat="1">
      <c r="A16" s="215" t="s">
        <v>40</v>
      </c>
      <c r="B16" s="216" t="s">
        <v>76</v>
      </c>
      <c r="C16" s="138">
        <v>83931000000</v>
      </c>
      <c r="D16" s="138">
        <v>83931000000</v>
      </c>
      <c r="E16" s="33">
        <f>10188000000-4670000000</f>
        <v>5518000000</v>
      </c>
      <c r="F16" s="33">
        <f>2204929862+2465070138+5518000000</f>
        <v>10188000000</v>
      </c>
      <c r="G16" s="218">
        <f t="shared" si="3"/>
        <v>0.12138542374093005</v>
      </c>
      <c r="H16" s="218">
        <f t="shared" si="1"/>
        <v>0.12138542374093005</v>
      </c>
      <c r="I16" s="220">
        <v>1.1499999999999999</v>
      </c>
    </row>
    <row r="17" spans="1:10" s="23" customFormat="1">
      <c r="A17" s="134" t="s">
        <v>167</v>
      </c>
      <c r="B17" s="219" t="s">
        <v>168</v>
      </c>
      <c r="C17" s="138"/>
      <c r="D17" s="139">
        <f>D18</f>
        <v>11000000000</v>
      </c>
      <c r="E17" s="35">
        <f>E18</f>
        <v>0</v>
      </c>
      <c r="F17" s="35">
        <f>F18</f>
        <v>10000000000</v>
      </c>
      <c r="G17" s="220">
        <v>0</v>
      </c>
      <c r="H17" s="220">
        <f t="shared" si="1"/>
        <v>0.90909090909090906</v>
      </c>
      <c r="I17" s="220">
        <v>1</v>
      </c>
    </row>
    <row r="18" spans="1:10" s="23" customFormat="1">
      <c r="A18" s="221" t="s">
        <v>40</v>
      </c>
      <c r="B18" s="216" t="s">
        <v>169</v>
      </c>
      <c r="C18" s="138"/>
      <c r="D18" s="138">
        <v>11000000000</v>
      </c>
      <c r="E18" s="33">
        <v>0</v>
      </c>
      <c r="F18" s="33">
        <v>10000000000</v>
      </c>
      <c r="G18" s="220">
        <v>0</v>
      </c>
      <c r="H18" s="220">
        <f t="shared" si="1"/>
        <v>0.90909090909090906</v>
      </c>
      <c r="I18" s="220">
        <v>1</v>
      </c>
    </row>
    <row r="19" spans="1:10" s="23" customFormat="1">
      <c r="A19" s="134">
        <v>2</v>
      </c>
      <c r="B19" s="211" t="s">
        <v>170</v>
      </c>
      <c r="C19" s="139"/>
      <c r="D19" s="31">
        <f>D21</f>
        <v>2700000000</v>
      </c>
      <c r="E19" s="35">
        <f>E20+E21</f>
        <v>835387183</v>
      </c>
      <c r="F19" s="35">
        <f>F20+F21</f>
        <v>1131619183</v>
      </c>
      <c r="G19" s="220">
        <v>0</v>
      </c>
      <c r="H19" s="220">
        <f t="shared" si="1"/>
        <v>0.41911821592592591</v>
      </c>
      <c r="I19" s="220">
        <v>0.08</v>
      </c>
    </row>
    <row r="20" spans="1:10" s="23" customFormat="1">
      <c r="A20" s="222" t="s">
        <v>164</v>
      </c>
      <c r="B20" s="216" t="s">
        <v>165</v>
      </c>
      <c r="C20" s="139"/>
      <c r="D20" s="34"/>
      <c r="E20" s="35"/>
      <c r="F20" s="33"/>
      <c r="G20" s="220">
        <v>0</v>
      </c>
      <c r="H20" s="220">
        <v>0</v>
      </c>
      <c r="I20" s="220">
        <v>0</v>
      </c>
    </row>
    <row r="21" spans="1:10" s="23" customFormat="1">
      <c r="A21" s="222" t="s">
        <v>167</v>
      </c>
      <c r="B21" s="216" t="s">
        <v>168</v>
      </c>
      <c r="C21" s="139"/>
      <c r="D21" s="34">
        <v>2700000000</v>
      </c>
      <c r="E21" s="33">
        <f>1131619183-296232000</f>
        <v>835387183</v>
      </c>
      <c r="F21" s="33">
        <v>1131619183</v>
      </c>
      <c r="G21" s="220">
        <v>0</v>
      </c>
      <c r="H21" s="220">
        <f t="shared" si="1"/>
        <v>0.41911821592592591</v>
      </c>
      <c r="I21" s="220">
        <v>0.08</v>
      </c>
    </row>
    <row r="22" spans="1:10" s="23" customFormat="1">
      <c r="A22" s="36" t="s">
        <v>8</v>
      </c>
      <c r="B22" s="223" t="s">
        <v>77</v>
      </c>
      <c r="C22" s="135">
        <v>2970957000000</v>
      </c>
      <c r="D22" s="38">
        <f>D23+D36</f>
        <v>2959957000000</v>
      </c>
      <c r="E22" s="28">
        <f t="shared" ref="E22:F22" si="5">E23+E36</f>
        <v>154601201698</v>
      </c>
      <c r="F22" s="28">
        <f t="shared" si="5"/>
        <v>676728301006</v>
      </c>
      <c r="G22" s="214">
        <f t="shared" ref="G22:G26" si="6">F22/C22*100%</f>
        <v>0.22778125062261084</v>
      </c>
      <c r="H22" s="25">
        <f>F22/D22*100%</f>
        <v>0.22862774729700466</v>
      </c>
      <c r="I22" s="25">
        <f>F22/442971647900</f>
        <v>1.5277011614945841</v>
      </c>
      <c r="J22" s="26"/>
    </row>
    <row r="23" spans="1:10" s="23" customFormat="1">
      <c r="A23" s="36" t="s">
        <v>78</v>
      </c>
      <c r="B23" s="223" t="s">
        <v>79</v>
      </c>
      <c r="C23" s="135"/>
      <c r="D23" s="38">
        <f>SUM(D24:D35)</f>
        <v>2566174000000</v>
      </c>
      <c r="E23" s="28">
        <f t="shared" ref="E23:F23" si="7">SUM(E24:E35)</f>
        <v>123012768964</v>
      </c>
      <c r="F23" s="28">
        <f t="shared" si="7"/>
        <v>599028253150</v>
      </c>
      <c r="G23" s="214">
        <f>F23/D23*100%</f>
        <v>0.23343243799913801</v>
      </c>
      <c r="H23" s="25">
        <f>F23/D23*100%</f>
        <v>0.23343243799913801</v>
      </c>
      <c r="I23" s="25">
        <f>F23/370794543129</f>
        <v>1.6155260756941536</v>
      </c>
    </row>
    <row r="24" spans="1:10" s="23" customFormat="1" ht="18.75" customHeight="1">
      <c r="A24" s="39">
        <v>1</v>
      </c>
      <c r="B24" s="224" t="s">
        <v>80</v>
      </c>
      <c r="C24" s="225"/>
      <c r="D24" s="71">
        <v>13326000000</v>
      </c>
      <c r="E24" s="40">
        <v>0</v>
      </c>
      <c r="F24" s="226">
        <v>3174337076</v>
      </c>
      <c r="G24" s="227"/>
      <c r="H24" s="227">
        <f>F24/D24*100%</f>
        <v>0.23820629416178898</v>
      </c>
      <c r="I24" s="227">
        <f>F24/3908308832</f>
        <v>0.81220221135277981</v>
      </c>
    </row>
    <row r="25" spans="1:10" s="23" customFormat="1" ht="17.25" customHeight="1">
      <c r="A25" s="39">
        <v>2</v>
      </c>
      <c r="B25" s="228" t="s">
        <v>24</v>
      </c>
      <c r="C25" s="229"/>
      <c r="D25" s="72">
        <v>25500000000</v>
      </c>
      <c r="E25" s="41">
        <f>6301516933-2838063919</f>
        <v>3463453014</v>
      </c>
      <c r="F25" s="230">
        <v>6301516933</v>
      </c>
      <c r="G25" s="231"/>
      <c r="H25" s="231">
        <f t="shared" ref="H25:I35" si="8">F25/D25*100%</f>
        <v>0.24711831109803922</v>
      </c>
      <c r="I25" s="231">
        <f>F25/5620459117</f>
        <v>1.1211747655881046</v>
      </c>
    </row>
    <row r="26" spans="1:10" s="23" customFormat="1" ht="18" customHeight="1">
      <c r="A26" s="39">
        <v>3</v>
      </c>
      <c r="B26" s="49" t="s">
        <v>81</v>
      </c>
      <c r="C26" s="232">
        <v>1480985000000</v>
      </c>
      <c r="D26" s="72">
        <v>1535589000000</v>
      </c>
      <c r="E26" s="42">
        <f>344669389206-231905476084</f>
        <v>112763913122</v>
      </c>
      <c r="F26" s="230">
        <v>344669389206</v>
      </c>
      <c r="G26" s="231">
        <f t="shared" si="6"/>
        <v>0.23272983129876401</v>
      </c>
      <c r="H26" s="231">
        <f t="shared" si="8"/>
        <v>0.22445419262966848</v>
      </c>
      <c r="I26" s="231">
        <f>F26/262861392068</f>
        <v>1.3112210450321171</v>
      </c>
    </row>
    <row r="27" spans="1:10" s="23" customFormat="1" ht="15.75" customHeight="1">
      <c r="A27" s="39">
        <v>4</v>
      </c>
      <c r="B27" s="49" t="s">
        <v>82</v>
      </c>
      <c r="C27" s="232"/>
      <c r="D27" s="72">
        <v>67071000000</v>
      </c>
      <c r="E27" s="42">
        <f>0</f>
        <v>0</v>
      </c>
      <c r="F27" s="230">
        <v>0</v>
      </c>
      <c r="G27" s="231"/>
      <c r="H27" s="231">
        <f t="shared" si="8"/>
        <v>0</v>
      </c>
      <c r="I27" s="231">
        <v>0</v>
      </c>
    </row>
    <row r="28" spans="1:10" s="23" customFormat="1">
      <c r="A28" s="39">
        <v>5</v>
      </c>
      <c r="B28" s="49" t="s">
        <v>83</v>
      </c>
      <c r="C28" s="232"/>
      <c r="D28" s="72">
        <v>21343000000</v>
      </c>
      <c r="E28" s="42">
        <f>8713329000-8167095912</f>
        <v>546233088</v>
      </c>
      <c r="F28" s="230">
        <v>8713329000</v>
      </c>
      <c r="G28" s="231"/>
      <c r="H28" s="231">
        <f t="shared" si="8"/>
        <v>0.40825230754814223</v>
      </c>
      <c r="I28" s="231">
        <f>F28/12785280233</f>
        <v>0.6815125551577732</v>
      </c>
    </row>
    <row r="29" spans="1:10" s="23" customFormat="1">
      <c r="A29" s="39">
        <v>6</v>
      </c>
      <c r="B29" s="49" t="s">
        <v>84</v>
      </c>
      <c r="C29" s="232"/>
      <c r="D29" s="72">
        <v>2262000000</v>
      </c>
      <c r="E29" s="42">
        <f>286374765-187070713</f>
        <v>99304052</v>
      </c>
      <c r="F29" s="230">
        <v>286374765</v>
      </c>
      <c r="G29" s="231"/>
      <c r="H29" s="231">
        <f t="shared" si="8"/>
        <v>0.12660246021220159</v>
      </c>
      <c r="I29" s="231">
        <f>F29/258627350</f>
        <v>1.1072872416625696</v>
      </c>
    </row>
    <row r="30" spans="1:10" s="23" customFormat="1">
      <c r="A30" s="39">
        <v>7</v>
      </c>
      <c r="B30" s="49" t="s">
        <v>85</v>
      </c>
      <c r="C30" s="232"/>
      <c r="D30" s="72">
        <v>4299000000</v>
      </c>
      <c r="E30" s="42">
        <f>492373258-262651258</f>
        <v>229722000</v>
      </c>
      <c r="F30" s="230">
        <v>492373258</v>
      </c>
      <c r="G30" s="231"/>
      <c r="H30" s="231">
        <f t="shared" si="8"/>
        <v>0.11453204419632472</v>
      </c>
      <c r="I30" s="231">
        <f>F30/603150800</f>
        <v>0.81633524816679348</v>
      </c>
    </row>
    <row r="31" spans="1:10" s="23" customFormat="1">
      <c r="A31" s="39">
        <v>8</v>
      </c>
      <c r="B31" s="49" t="s">
        <v>86</v>
      </c>
      <c r="C31" s="232">
        <v>335205000000</v>
      </c>
      <c r="D31" s="72">
        <v>335205000000</v>
      </c>
      <c r="E31" s="42">
        <f>0</f>
        <v>0</v>
      </c>
      <c r="F31" s="230">
        <v>151782592283</v>
      </c>
      <c r="G31" s="231"/>
      <c r="H31" s="231">
        <f t="shared" si="8"/>
        <v>0.45280527522859149</v>
      </c>
      <c r="I31" s="231">
        <v>0</v>
      </c>
    </row>
    <row r="32" spans="1:10" s="23" customFormat="1">
      <c r="A32" s="39">
        <v>9</v>
      </c>
      <c r="B32" s="49" t="s">
        <v>87</v>
      </c>
      <c r="C32" s="232"/>
      <c r="D32" s="72">
        <v>195932000000</v>
      </c>
      <c r="E32" s="42">
        <f>18893945531-17540921164</f>
        <v>1353024367</v>
      </c>
      <c r="F32" s="230">
        <v>18893945531</v>
      </c>
      <c r="G32" s="231"/>
      <c r="H32" s="231">
        <f t="shared" si="8"/>
        <v>9.6431136981197554E-2</v>
      </c>
      <c r="I32" s="231">
        <f>F32/3813307925</f>
        <v>4.9547390094388986</v>
      </c>
    </row>
    <row r="33" spans="1:9" s="23" customFormat="1">
      <c r="A33" s="39">
        <v>10</v>
      </c>
      <c r="B33" s="49" t="s">
        <v>141</v>
      </c>
      <c r="C33" s="232"/>
      <c r="D33" s="72">
        <v>144855000000</v>
      </c>
      <c r="E33" s="42">
        <f>18439150098-13882030777</f>
        <v>4557119321</v>
      </c>
      <c r="F33" s="230">
        <v>18439150098</v>
      </c>
      <c r="G33" s="231"/>
      <c r="H33" s="231">
        <f t="shared" si="8"/>
        <v>0.12729384624624623</v>
      </c>
      <c r="I33" s="231">
        <f>F33/28919046124</f>
        <v>0.63761266602418454</v>
      </c>
    </row>
    <row r="34" spans="1:9" s="23" customFormat="1">
      <c r="A34" s="39">
        <v>11</v>
      </c>
      <c r="B34" s="50" t="s">
        <v>88</v>
      </c>
      <c r="C34" s="232"/>
      <c r="D34" s="72">
        <v>217895000000</v>
      </c>
      <c r="E34" s="42">
        <f>46275245000-46275245000</f>
        <v>0</v>
      </c>
      <c r="F34" s="230">
        <v>46275245000</v>
      </c>
      <c r="G34" s="231"/>
      <c r="H34" s="231">
        <f t="shared" si="8"/>
        <v>0.2123740563115262</v>
      </c>
      <c r="I34" s="231">
        <f>F34/52024970680</f>
        <v>0.88948142392302454</v>
      </c>
    </row>
    <row r="35" spans="1:9" s="23" customFormat="1">
      <c r="A35" s="39">
        <v>12</v>
      </c>
      <c r="B35" s="233" t="s">
        <v>89</v>
      </c>
      <c r="C35" s="234"/>
      <c r="D35" s="73">
        <v>2897000000</v>
      </c>
      <c r="E35" s="43">
        <v>0</v>
      </c>
      <c r="F35" s="230">
        <v>0</v>
      </c>
      <c r="G35" s="235"/>
      <c r="H35" s="235">
        <f t="shared" si="8"/>
        <v>0</v>
      </c>
      <c r="I35" s="235">
        <v>0</v>
      </c>
    </row>
    <row r="36" spans="1:9" s="23" customFormat="1">
      <c r="A36" s="44" t="s">
        <v>90</v>
      </c>
      <c r="B36" s="236" t="s">
        <v>91</v>
      </c>
      <c r="C36" s="237"/>
      <c r="D36" s="45">
        <f>SUM(D37:D46)</f>
        <v>393783000000</v>
      </c>
      <c r="E36" s="45">
        <f t="shared" ref="E36:F36" si="9">SUM(E37:E46)</f>
        <v>31588432734</v>
      </c>
      <c r="F36" s="45">
        <f t="shared" si="9"/>
        <v>77700047856</v>
      </c>
      <c r="G36" s="238">
        <f>F36/D36*100%</f>
        <v>0.1973169178354576</v>
      </c>
      <c r="H36" s="46">
        <f>F36/D36*100%</f>
        <v>0.1973169178354576</v>
      </c>
      <c r="I36" s="46">
        <f>F36/72177104771</f>
        <v>1.0765193215012285</v>
      </c>
    </row>
    <row r="37" spans="1:9" s="23" customFormat="1">
      <c r="A37" s="39" t="s">
        <v>92</v>
      </c>
      <c r="B37" s="224" t="s">
        <v>80</v>
      </c>
      <c r="C37" s="239"/>
      <c r="D37" s="48">
        <v>53645000000</v>
      </c>
      <c r="E37" s="48">
        <f>7596653823-4801146856</f>
        <v>2795506967</v>
      </c>
      <c r="F37" s="240">
        <v>7596653823</v>
      </c>
      <c r="G37" s="241"/>
      <c r="H37" s="107">
        <f t="shared" ref="H37:H46" si="10">F37/D37*100%</f>
        <v>0.14160972733712368</v>
      </c>
      <c r="I37" s="107">
        <f>F37/3489721168</f>
        <v>2.1768655595351567</v>
      </c>
    </row>
    <row r="38" spans="1:9" s="23" customFormat="1">
      <c r="A38" s="39" t="s">
        <v>93</v>
      </c>
      <c r="B38" s="228" t="s">
        <v>24</v>
      </c>
      <c r="C38" s="242"/>
      <c r="D38" s="42">
        <v>42440000000</v>
      </c>
      <c r="E38" s="42">
        <f>7485648448-4148399711</f>
        <v>3337248737</v>
      </c>
      <c r="F38" s="240">
        <v>7485648448</v>
      </c>
      <c r="G38" s="243"/>
      <c r="H38" s="108">
        <f t="shared" si="10"/>
        <v>0.17638191442035817</v>
      </c>
      <c r="I38" s="108">
        <f>F38/8295922680</f>
        <v>0.90232861813509568</v>
      </c>
    </row>
    <row r="39" spans="1:9" s="23" customFormat="1">
      <c r="A39" s="39" t="s">
        <v>94</v>
      </c>
      <c r="B39" s="49" t="s">
        <v>83</v>
      </c>
      <c r="C39" s="242"/>
      <c r="D39" s="42">
        <v>1015000000</v>
      </c>
      <c r="E39" s="42">
        <f>307497208-191914634</f>
        <v>115582574</v>
      </c>
      <c r="F39" s="240">
        <v>307497208</v>
      </c>
      <c r="G39" s="243"/>
      <c r="H39" s="108">
        <f t="shared" si="10"/>
        <v>0.3029529142857143</v>
      </c>
      <c r="I39" s="108">
        <f>F39/438442757</f>
        <v>0.70133946356878696</v>
      </c>
    </row>
    <row r="40" spans="1:9" s="23" customFormat="1">
      <c r="A40" s="39" t="s">
        <v>95</v>
      </c>
      <c r="B40" s="49" t="s">
        <v>84</v>
      </c>
      <c r="C40" s="242"/>
      <c r="D40" s="42">
        <v>841000000</v>
      </c>
      <c r="E40" s="42">
        <f>18468054-11443679</f>
        <v>7024375</v>
      </c>
      <c r="F40" s="240">
        <v>18468054</v>
      </c>
      <c r="G40" s="243"/>
      <c r="H40" s="108">
        <f t="shared" si="10"/>
        <v>2.195963614744352E-2</v>
      </c>
      <c r="I40" s="108">
        <f>F40/38806502</f>
        <v>0.47590102297805664</v>
      </c>
    </row>
    <row r="41" spans="1:9" s="23" customFormat="1">
      <c r="A41" s="39" t="s">
        <v>96</v>
      </c>
      <c r="B41" s="49" t="s">
        <v>85</v>
      </c>
      <c r="C41" s="242"/>
      <c r="D41" s="42">
        <v>1711000000</v>
      </c>
      <c r="E41" s="42">
        <f>72689682-21524682</f>
        <v>51165000</v>
      </c>
      <c r="F41" s="240">
        <v>72689682</v>
      </c>
      <c r="G41" s="243"/>
      <c r="H41" s="108">
        <f t="shared" si="10"/>
        <v>4.2483741671537116E-2</v>
      </c>
      <c r="I41" s="108">
        <f>F41/74272260</f>
        <v>0.9786922062153488</v>
      </c>
    </row>
    <row r="42" spans="1:9" s="23" customFormat="1">
      <c r="A42" s="39" t="s">
        <v>97</v>
      </c>
      <c r="B42" s="49" t="s">
        <v>86</v>
      </c>
      <c r="C42" s="242"/>
      <c r="D42" s="42">
        <v>0</v>
      </c>
      <c r="E42" s="42">
        <f>21167450-14045100</f>
        <v>7122350</v>
      </c>
      <c r="F42" s="240">
        <v>21167450</v>
      </c>
      <c r="G42" s="243"/>
      <c r="H42" s="108">
        <v>0</v>
      </c>
      <c r="I42" s="108">
        <f>F42/10600000</f>
        <v>1.996929245283019</v>
      </c>
    </row>
    <row r="43" spans="1:9" s="23" customFormat="1">
      <c r="A43" s="39" t="s">
        <v>98</v>
      </c>
      <c r="B43" s="49" t="s">
        <v>87</v>
      </c>
      <c r="C43" s="242"/>
      <c r="D43" s="42">
        <v>2827000000</v>
      </c>
      <c r="E43" s="42">
        <f>118341434-98678220</f>
        <v>19663214</v>
      </c>
      <c r="F43" s="240">
        <v>118341434</v>
      </c>
      <c r="G43" s="243"/>
      <c r="H43" s="108">
        <f t="shared" si="10"/>
        <v>4.1861136894234173E-2</v>
      </c>
      <c r="I43" s="108">
        <f>F43/146469868</f>
        <v>0.807957538406466</v>
      </c>
    </row>
    <row r="44" spans="1:9" s="23" customFormat="1">
      <c r="A44" s="39" t="s">
        <v>99</v>
      </c>
      <c r="B44" s="49" t="s">
        <v>100</v>
      </c>
      <c r="C44" s="242"/>
      <c r="D44" s="42">
        <v>252940000000</v>
      </c>
      <c r="E44" s="42">
        <f>57499561008-35752579964</f>
        <v>21746981044</v>
      </c>
      <c r="F44" s="240">
        <v>57499561008</v>
      </c>
      <c r="G44" s="243"/>
      <c r="H44" s="108">
        <f t="shared" si="10"/>
        <v>0.22732490317071241</v>
      </c>
      <c r="I44" s="108">
        <f>F44/40657395038</f>
        <v>1.4142460665337424</v>
      </c>
    </row>
    <row r="45" spans="1:9" s="23" customFormat="1">
      <c r="A45" s="39" t="s">
        <v>101</v>
      </c>
      <c r="B45" s="50" t="s">
        <v>88</v>
      </c>
      <c r="C45" s="242"/>
      <c r="D45" s="42">
        <v>5496000000</v>
      </c>
      <c r="E45" s="42">
        <f>322113000-115690000</f>
        <v>206423000</v>
      </c>
      <c r="F45" s="240">
        <v>322113000</v>
      </c>
      <c r="G45" s="243"/>
      <c r="H45" s="108">
        <f t="shared" si="10"/>
        <v>5.8608624454148474E-2</v>
      </c>
      <c r="I45" s="108">
        <f>F45/57174600</f>
        <v>5.6338478974929425</v>
      </c>
    </row>
    <row r="46" spans="1:9" s="23" customFormat="1">
      <c r="A46" s="39" t="s">
        <v>102</v>
      </c>
      <c r="B46" s="244" t="s">
        <v>89</v>
      </c>
      <c r="C46" s="245"/>
      <c r="D46" s="43">
        <v>32868000000</v>
      </c>
      <c r="E46" s="43">
        <f>4257907749-956192276</f>
        <v>3301715473</v>
      </c>
      <c r="F46" s="240">
        <v>4257907749</v>
      </c>
      <c r="G46" s="246"/>
      <c r="H46" s="109">
        <f t="shared" si="10"/>
        <v>0.12954569030668128</v>
      </c>
      <c r="I46" s="109">
        <f>F46/5116097421</f>
        <v>0.83225697218403305</v>
      </c>
    </row>
    <row r="47" spans="1:9" s="23" customFormat="1" ht="21" customHeight="1">
      <c r="A47" s="44" t="s">
        <v>9</v>
      </c>
      <c r="B47" s="247" t="s">
        <v>143</v>
      </c>
      <c r="C47" s="237"/>
      <c r="D47" s="38"/>
      <c r="E47" s="28">
        <v>0</v>
      </c>
      <c r="F47" s="28">
        <v>0</v>
      </c>
      <c r="G47" s="47"/>
      <c r="H47" s="25"/>
      <c r="I47" s="25"/>
    </row>
    <row r="48" spans="1:9" s="29" customFormat="1" ht="26.25" hidden="1" customHeight="1">
      <c r="A48" s="52" t="s">
        <v>11</v>
      </c>
      <c r="B48" s="248" t="s">
        <v>171</v>
      </c>
      <c r="C48" s="249"/>
      <c r="D48" s="28"/>
      <c r="E48" s="250"/>
      <c r="F48" s="250">
        <f>E48</f>
        <v>0</v>
      </c>
      <c r="G48" s="51"/>
      <c r="H48" s="32"/>
      <c r="I48" s="32"/>
    </row>
    <row r="49" spans="1:9" s="29" customFormat="1">
      <c r="A49" s="251" t="s">
        <v>43</v>
      </c>
      <c r="B49" s="252" t="s">
        <v>107</v>
      </c>
      <c r="C49" s="253">
        <v>72800000000</v>
      </c>
      <c r="D49" s="253">
        <f>D50+D51</f>
        <v>72800000000</v>
      </c>
      <c r="E49" s="253"/>
      <c r="F49" s="253">
        <f t="shared" ref="F49" si="11">E49</f>
        <v>0</v>
      </c>
      <c r="G49" s="254"/>
      <c r="H49" s="255"/>
      <c r="I49" s="255"/>
    </row>
    <row r="50" spans="1:9" s="29" customFormat="1">
      <c r="A50" s="257"/>
      <c r="B50" s="258" t="s">
        <v>79</v>
      </c>
      <c r="C50" s="256"/>
      <c r="D50" s="256">
        <v>64924000000</v>
      </c>
      <c r="E50" s="256"/>
      <c r="F50" s="256"/>
      <c r="G50" s="256"/>
      <c r="H50" s="256"/>
      <c r="I50" s="256"/>
    </row>
    <row r="51" spans="1:9" s="29" customFormat="1">
      <c r="A51" s="257"/>
      <c r="B51" s="258" t="s">
        <v>108</v>
      </c>
      <c r="C51" s="256"/>
      <c r="D51" s="256">
        <v>7876000000</v>
      </c>
      <c r="E51" s="256"/>
      <c r="F51" s="256"/>
      <c r="G51" s="256"/>
      <c r="H51" s="256"/>
      <c r="I51" s="256"/>
    </row>
    <row r="52" spans="1:9" s="29" customFormat="1">
      <c r="A52" s="259" t="s">
        <v>135</v>
      </c>
      <c r="B52" s="260" t="s">
        <v>32</v>
      </c>
      <c r="C52" s="261">
        <v>0</v>
      </c>
      <c r="D52" s="261"/>
      <c r="E52" s="261"/>
      <c r="F52" s="261"/>
      <c r="G52" s="261"/>
      <c r="H52" s="261"/>
      <c r="I52" s="261"/>
    </row>
    <row r="53" spans="1:9" s="29" customFormat="1">
      <c r="A53" s="52"/>
      <c r="B53" s="262"/>
      <c r="C53" s="53"/>
      <c r="D53" s="105"/>
      <c r="E53" s="263"/>
      <c r="F53" s="263"/>
      <c r="G53" s="51"/>
      <c r="H53" s="32"/>
      <c r="I53" s="32"/>
    </row>
    <row r="54" spans="1:9" s="23" customFormat="1">
      <c r="A54" s="44" t="s">
        <v>2</v>
      </c>
      <c r="B54" s="44" t="s">
        <v>103</v>
      </c>
      <c r="C54" s="106"/>
      <c r="D54" s="38">
        <f>D55</f>
        <v>0</v>
      </c>
      <c r="E54" s="38">
        <f>E55</f>
        <v>530000000</v>
      </c>
      <c r="F54" s="47">
        <f>F55</f>
        <v>7114000000</v>
      </c>
      <c r="G54" s="47"/>
      <c r="H54" s="25"/>
      <c r="I54" s="25"/>
    </row>
    <row r="55" spans="1:9" s="23" customFormat="1">
      <c r="A55" s="54"/>
      <c r="B55" s="55" t="s">
        <v>104</v>
      </c>
      <c r="C55" s="110"/>
      <c r="D55" s="111"/>
      <c r="E55" s="57">
        <f>SUM(E56:E57)</f>
        <v>530000000</v>
      </c>
      <c r="F55" s="57">
        <f>SUM(F56:F57)</f>
        <v>7114000000</v>
      </c>
      <c r="G55" s="264"/>
      <c r="H55" s="264"/>
      <c r="I55" s="264"/>
    </row>
    <row r="56" spans="1:9" s="23" customFormat="1">
      <c r="A56" s="265">
        <v>1</v>
      </c>
      <c r="B56" s="265" t="s">
        <v>105</v>
      </c>
      <c r="C56" s="110"/>
      <c r="D56" s="111"/>
      <c r="E56" s="56">
        <f>6464000000-5934000000</f>
        <v>530000000</v>
      </c>
      <c r="F56" s="56">
        <v>6464000000</v>
      </c>
      <c r="G56" s="266"/>
      <c r="H56" s="266"/>
      <c r="I56" s="266"/>
    </row>
    <row r="57" spans="1:9" s="23" customFormat="1">
      <c r="A57" s="265">
        <v>2</v>
      </c>
      <c r="B57" s="265" t="s">
        <v>106</v>
      </c>
      <c r="C57" s="58"/>
      <c r="D57" s="112"/>
      <c r="E57" s="59">
        <f>650000000-650000000</f>
        <v>0</v>
      </c>
      <c r="F57" s="59">
        <v>650000000</v>
      </c>
      <c r="G57" s="56"/>
      <c r="H57" s="264"/>
      <c r="I57" s="264"/>
    </row>
    <row r="58" spans="1:9" s="23" customFormat="1" ht="17.25" customHeight="1">
      <c r="A58" s="36" t="s">
        <v>10</v>
      </c>
      <c r="B58" s="36" t="s">
        <v>45</v>
      </c>
      <c r="C58" s="37"/>
      <c r="D58" s="113"/>
      <c r="E58" s="38">
        <f>1673855970-806041543</f>
        <v>867814427</v>
      </c>
      <c r="F58" s="47">
        <v>1673855970</v>
      </c>
      <c r="G58" s="47"/>
      <c r="H58" s="47"/>
      <c r="I58" s="47"/>
    </row>
    <row r="59" spans="1:9" s="23" customFormat="1" hidden="1">
      <c r="A59" s="60" t="s">
        <v>10</v>
      </c>
      <c r="B59" s="60" t="s">
        <v>109</v>
      </c>
      <c r="C59" s="66"/>
      <c r="D59" s="114">
        <v>0</v>
      </c>
      <c r="E59" s="114"/>
      <c r="F59" s="115">
        <v>427764</v>
      </c>
      <c r="G59" s="115"/>
      <c r="H59" s="115"/>
    </row>
    <row r="60" spans="1:9" s="23" customFormat="1" hidden="1">
      <c r="A60" s="61" t="s">
        <v>23</v>
      </c>
      <c r="B60" s="61" t="s">
        <v>110</v>
      </c>
      <c r="C60" s="67"/>
      <c r="D60" s="116">
        <v>0</v>
      </c>
      <c r="E60" s="116"/>
      <c r="F60" s="117"/>
      <c r="G60" s="117"/>
      <c r="H60" s="117"/>
    </row>
    <row r="61" spans="1:9" s="23" customFormat="1" hidden="1">
      <c r="A61" s="267"/>
      <c r="B61" s="268"/>
      <c r="C61" s="269"/>
      <c r="D61" s="270"/>
      <c r="E61" s="271"/>
      <c r="F61" s="271"/>
      <c r="G61" s="271"/>
      <c r="H61" s="271"/>
    </row>
    <row r="62" spans="1:9" s="23" customFormat="1" hidden="1">
      <c r="A62" s="272"/>
      <c r="B62" s="273"/>
      <c r="C62" s="274"/>
      <c r="D62" s="270">
        <v>123601</v>
      </c>
      <c r="E62" s="271"/>
      <c r="F62" s="271"/>
      <c r="G62" s="271"/>
      <c r="H62" s="271"/>
    </row>
    <row r="63" spans="1:9" s="23" customFormat="1" hidden="1">
      <c r="A63" s="61" t="s">
        <v>172</v>
      </c>
      <c r="B63" s="62" t="s">
        <v>173</v>
      </c>
      <c r="C63" s="63"/>
      <c r="D63" s="116">
        <v>0</v>
      </c>
      <c r="E63" s="64">
        <v>0</v>
      </c>
      <c r="F63" s="65">
        <f>E63</f>
        <v>0</v>
      </c>
      <c r="G63" s="65"/>
      <c r="H63" s="117"/>
    </row>
    <row r="64" spans="1:9">
      <c r="D64" s="275"/>
      <c r="E64" s="275"/>
      <c r="F64" s="275"/>
      <c r="G64" s="275"/>
      <c r="H64" s="275"/>
    </row>
    <row r="65" spans="2:2">
      <c r="B65" s="68"/>
    </row>
    <row r="69" spans="2:2">
      <c r="B69" s="69"/>
    </row>
    <row r="70" spans="2:2">
      <c r="B70" s="69"/>
    </row>
    <row r="71" spans="2:2">
      <c r="B71" s="69"/>
    </row>
  </sheetData>
  <mergeCells count="17">
    <mergeCell ref="D61:H61"/>
    <mergeCell ref="D62:H62"/>
    <mergeCell ref="D64:H64"/>
    <mergeCell ref="I7:I8"/>
    <mergeCell ref="A4:J4"/>
    <mergeCell ref="F7:F8"/>
    <mergeCell ref="G7:G8"/>
    <mergeCell ref="H7:H8"/>
    <mergeCell ref="A1:B1"/>
    <mergeCell ref="A2:B2"/>
    <mergeCell ref="A5:H5"/>
    <mergeCell ref="F6:H6"/>
    <mergeCell ref="A7:A8"/>
    <mergeCell ref="B7:B8"/>
    <mergeCell ref="C7:C8"/>
    <mergeCell ref="D7:D8"/>
    <mergeCell ref="E7:E8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9A7A22-E92B-4CBD-9771-57FA56294DD7}"/>
</file>

<file path=customXml/itemProps2.xml><?xml version="1.0" encoding="utf-8"?>
<ds:datastoreItem xmlns:ds="http://schemas.openxmlformats.org/officeDocument/2006/customXml" ds:itemID="{A89BBCE4-30C6-4EF1-A8A7-B187075BF215}"/>
</file>

<file path=customXml/itemProps3.xml><?xml version="1.0" encoding="utf-8"?>
<ds:datastoreItem xmlns:ds="http://schemas.openxmlformats.org/officeDocument/2006/customXml" ds:itemID="{FAF4BBA1-E94A-49C3-890C-25A1A4834D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MAU 93-ck (2)</vt:lpstr>
      <vt:lpstr>MAU 94-ck (5)</vt:lpstr>
      <vt:lpstr>MAU 95-CK</vt:lpstr>
      <vt:lpstr>'MAU 93-ck (2)'!Print_Titles</vt:lpstr>
      <vt:lpstr>'MAU 94-ck (5)'!Print_Titles</vt:lpstr>
      <vt:lpstr>'MAU 95-CK'!Print_Titles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PHONG VU BH</dc:creator>
  <cp:lastModifiedBy>hello</cp:lastModifiedBy>
  <cp:lastPrinted>2025-04-10T08:27:31Z</cp:lastPrinted>
  <dcterms:created xsi:type="dcterms:W3CDTF">2017-07-22T05:53:59Z</dcterms:created>
  <dcterms:modified xsi:type="dcterms:W3CDTF">2025-04-10T08:42:16Z</dcterms:modified>
</cp:coreProperties>
</file>